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2\загальна папка\03_ВИКОНКОМ РІШЕННЯ\2021\грудень 2021\РІШЕННЯ З НОМЕРАМИ\"/>
    </mc:Choice>
  </mc:AlternateContent>
  <xr:revisionPtr revIDLastSave="0" documentId="13_ncr:1_{E8392827-B69B-4A7A-B875-172952CC9967}" xr6:coauthVersionLast="37" xr6:coauthVersionMax="37" xr10:uidLastSave="{00000000-0000-0000-0000-000000000000}"/>
  <bookViews>
    <workbookView xWindow="0" yWindow="0" windowWidth="20496" windowHeight="6552" xr2:uid="{00000000-000D-0000-FFFF-FFFF00000000}"/>
  </bookViews>
  <sheets>
    <sheet name="фінансовий план 2022 рік" sheetId="5" r:id="rId1"/>
    <sheet name="Додаток 1" sheetId="2" state="hidden" r:id="rId2"/>
    <sheet name="Додаток 3" sheetId="4" state="hidden" r:id="rId3"/>
  </sheets>
  <calcPr calcId="179021"/>
</workbook>
</file>

<file path=xl/calcChain.xml><?xml version="1.0" encoding="utf-8"?>
<calcChain xmlns="http://schemas.openxmlformats.org/spreadsheetml/2006/main">
  <c r="F106" i="5" l="1"/>
  <c r="G209" i="5" l="1"/>
  <c r="G195" i="5"/>
  <c r="G194" i="5"/>
  <c r="G193" i="5"/>
  <c r="G103" i="5"/>
  <c r="H106" i="5"/>
  <c r="G92" i="5"/>
  <c r="K251" i="5"/>
  <c r="K255" i="5" s="1"/>
  <c r="I255" i="5"/>
  <c r="I254" i="5"/>
  <c r="J254" i="5"/>
  <c r="K254" i="5"/>
  <c r="H254" i="5"/>
  <c r="H258" i="5"/>
  <c r="J251" i="5"/>
  <c r="J255" i="5" s="1"/>
  <c r="I251" i="5"/>
  <c r="H251" i="5"/>
  <c r="H255" i="5" s="1"/>
  <c r="I28" i="5"/>
  <c r="I147" i="5" s="1"/>
  <c r="J28" i="5"/>
  <c r="J147" i="5" s="1"/>
  <c r="K28" i="5"/>
  <c r="K31" i="5" s="1"/>
  <c r="H28" i="5"/>
  <c r="H31" i="5" s="1"/>
  <c r="J31" i="5" l="1"/>
  <c r="H147" i="5"/>
  <c r="I31" i="5"/>
  <c r="K147" i="5"/>
  <c r="F185" i="5"/>
  <c r="E192" i="5" l="1"/>
  <c r="D112" i="5" l="1"/>
  <c r="D97" i="5"/>
  <c r="I138" i="5" l="1"/>
  <c r="F46" i="5" l="1"/>
  <c r="H46" i="5"/>
  <c r="I46" i="5"/>
  <c r="J46" i="5"/>
  <c r="J37" i="5" s="1"/>
  <c r="K46" i="5"/>
  <c r="K37" i="5" s="1"/>
  <c r="K261" i="5"/>
  <c r="J261" i="5"/>
  <c r="I261" i="5"/>
  <c r="H261" i="5"/>
  <c r="F261" i="5"/>
  <c r="E261" i="5"/>
  <c r="D261" i="5"/>
  <c r="K258" i="5"/>
  <c r="J258" i="5"/>
  <c r="I258" i="5"/>
  <c r="G258" i="5" s="1"/>
  <c r="E258" i="5"/>
  <c r="J256" i="5"/>
  <c r="J260" i="5" s="1"/>
  <c r="H256" i="5"/>
  <c r="F256" i="5"/>
  <c r="F260" i="5" s="1"/>
  <c r="D256" i="5"/>
  <c r="D260" i="5" s="1"/>
  <c r="J253" i="5"/>
  <c r="J57" i="5" s="1"/>
  <c r="F255" i="5"/>
  <c r="F259" i="5" s="1"/>
  <c r="D255" i="5"/>
  <c r="G254" i="5"/>
  <c r="F254" i="5"/>
  <c r="D254" i="5"/>
  <c r="D258" i="5" s="1"/>
  <c r="K256" i="5"/>
  <c r="K260" i="5" s="1"/>
  <c r="I256" i="5"/>
  <c r="I260" i="5" s="1"/>
  <c r="G252" i="5"/>
  <c r="E256" i="5"/>
  <c r="E260" i="5" s="1"/>
  <c r="G251" i="5"/>
  <c r="G250" i="5"/>
  <c r="J249" i="5"/>
  <c r="J153" i="5" s="1"/>
  <c r="H249" i="5"/>
  <c r="H153" i="5" s="1"/>
  <c r="F249" i="5"/>
  <c r="D249" i="5"/>
  <c r="K245" i="5"/>
  <c r="J245" i="5"/>
  <c r="I245" i="5"/>
  <c r="H245" i="5"/>
  <c r="G245" i="5"/>
  <c r="F245" i="5"/>
  <c r="E245" i="5"/>
  <c r="D245" i="5"/>
  <c r="K235" i="5"/>
  <c r="J235" i="5"/>
  <c r="I235" i="5"/>
  <c r="H235" i="5"/>
  <c r="G235" i="5"/>
  <c r="F235" i="5"/>
  <c r="E235" i="5"/>
  <c r="D235" i="5"/>
  <c r="K232" i="5"/>
  <c r="J232" i="5"/>
  <c r="I232" i="5"/>
  <c r="H232" i="5"/>
  <c r="G232" i="5"/>
  <c r="F232" i="5"/>
  <c r="E232" i="5"/>
  <c r="D232" i="5"/>
  <c r="K229" i="5"/>
  <c r="J229" i="5"/>
  <c r="I229" i="5"/>
  <c r="H229" i="5"/>
  <c r="G229" i="5"/>
  <c r="F229" i="5"/>
  <c r="E229" i="5"/>
  <c r="D229" i="5"/>
  <c r="K226" i="5"/>
  <c r="J226" i="5"/>
  <c r="I226" i="5"/>
  <c r="H226" i="5"/>
  <c r="G226" i="5"/>
  <c r="F226" i="5"/>
  <c r="E226" i="5"/>
  <c r="D226" i="5"/>
  <c r="D225" i="5" s="1"/>
  <c r="K225" i="5"/>
  <c r="J225" i="5"/>
  <c r="I225" i="5"/>
  <c r="H225" i="5"/>
  <c r="G225" i="5"/>
  <c r="F225" i="5"/>
  <c r="E225" i="5"/>
  <c r="K221" i="5"/>
  <c r="J221" i="5"/>
  <c r="I221" i="5"/>
  <c r="H221" i="5"/>
  <c r="G221" i="5"/>
  <c r="F221" i="5"/>
  <c r="E221" i="5"/>
  <c r="D221" i="5"/>
  <c r="G217" i="5"/>
  <c r="G214" i="5"/>
  <c r="H208" i="5"/>
  <c r="I208" i="5" s="1"/>
  <c r="F207" i="5"/>
  <c r="F206" i="5" s="1"/>
  <c r="F216" i="5" s="1"/>
  <c r="E207" i="5"/>
  <c r="D207" i="5"/>
  <c r="G197" i="5"/>
  <c r="G196" i="5"/>
  <c r="K192" i="5"/>
  <c r="K202" i="5" s="1"/>
  <c r="J192" i="5"/>
  <c r="I192" i="5"/>
  <c r="I202" i="5" s="1"/>
  <c r="H192" i="5"/>
  <c r="F192" i="5"/>
  <c r="F202" i="5" s="1"/>
  <c r="F200" i="5" s="1"/>
  <c r="D192" i="5"/>
  <c r="D202" i="5" s="1"/>
  <c r="D200" i="5" s="1"/>
  <c r="F188" i="5"/>
  <c r="K185" i="5"/>
  <c r="J185" i="5"/>
  <c r="I185" i="5"/>
  <c r="I183" i="5" s="1"/>
  <c r="H185" i="5"/>
  <c r="K183" i="5"/>
  <c r="G184" i="5"/>
  <c r="J183" i="5"/>
  <c r="H183" i="5"/>
  <c r="F183" i="5"/>
  <c r="E183" i="5"/>
  <c r="D183" i="5"/>
  <c r="D190" i="5" s="1"/>
  <c r="G179" i="5"/>
  <c r="D177" i="5"/>
  <c r="K176" i="5"/>
  <c r="J176" i="5"/>
  <c r="I176" i="5"/>
  <c r="H176" i="5"/>
  <c r="F176" i="5"/>
  <c r="F175" i="5" s="1"/>
  <c r="K175" i="5"/>
  <c r="J175" i="5"/>
  <c r="I175" i="5"/>
  <c r="H175" i="5"/>
  <c r="G175" i="5"/>
  <c r="E175" i="5"/>
  <c r="D175" i="5"/>
  <c r="E170" i="5"/>
  <c r="E169" i="5"/>
  <c r="D169" i="5"/>
  <c r="D174" i="5" s="1"/>
  <c r="K163" i="5"/>
  <c r="J163" i="5"/>
  <c r="I163" i="5"/>
  <c r="H163" i="5"/>
  <c r="G163" i="5"/>
  <c r="F163" i="5"/>
  <c r="E163" i="5"/>
  <c r="D163" i="5"/>
  <c r="K160" i="5"/>
  <c r="J160" i="5"/>
  <c r="I160" i="5"/>
  <c r="H160" i="5"/>
  <c r="G160" i="5"/>
  <c r="F160" i="5"/>
  <c r="E160" i="5"/>
  <c r="D160" i="5"/>
  <c r="K159" i="5"/>
  <c r="J159" i="5"/>
  <c r="I159" i="5"/>
  <c r="H159" i="5"/>
  <c r="G159" i="5"/>
  <c r="F159" i="5"/>
  <c r="E159" i="5"/>
  <c r="D159" i="5"/>
  <c r="E156" i="5"/>
  <c r="D156" i="5"/>
  <c r="G120" i="5"/>
  <c r="G116" i="5" s="1"/>
  <c r="K116" i="5"/>
  <c r="J116" i="5"/>
  <c r="I116" i="5"/>
  <c r="H116" i="5"/>
  <c r="F116" i="5"/>
  <c r="E116" i="5"/>
  <c r="D116" i="5"/>
  <c r="G115" i="5"/>
  <c r="G113" i="5"/>
  <c r="K112" i="5"/>
  <c r="J112" i="5"/>
  <c r="I112" i="5"/>
  <c r="H112" i="5"/>
  <c r="F112" i="5"/>
  <c r="E112" i="5"/>
  <c r="G106" i="5"/>
  <c r="G97" i="5" s="1"/>
  <c r="K97" i="5"/>
  <c r="J97" i="5"/>
  <c r="I97" i="5"/>
  <c r="H97" i="5"/>
  <c r="F97" i="5"/>
  <c r="E97" i="5"/>
  <c r="K170" i="5"/>
  <c r="K169" i="5" s="1"/>
  <c r="J170" i="5"/>
  <c r="J169" i="5" s="1"/>
  <c r="I170" i="5"/>
  <c r="I169" i="5" s="1"/>
  <c r="H170" i="5"/>
  <c r="H169" i="5" s="1"/>
  <c r="G170" i="5"/>
  <c r="G169" i="5" s="1"/>
  <c r="F170" i="5"/>
  <c r="F169" i="5" s="1"/>
  <c r="K87" i="5"/>
  <c r="J87" i="5"/>
  <c r="I87" i="5"/>
  <c r="H87" i="5"/>
  <c r="G87" i="5"/>
  <c r="F87" i="5"/>
  <c r="E87" i="5"/>
  <c r="D87" i="5"/>
  <c r="K79" i="5"/>
  <c r="J79" i="5"/>
  <c r="I79" i="5"/>
  <c r="H79" i="5"/>
  <c r="G79" i="5" s="1"/>
  <c r="F79" i="5"/>
  <c r="E79" i="5"/>
  <c r="D79" i="5"/>
  <c r="G78" i="5"/>
  <c r="G77" i="5"/>
  <c r="G76" i="5"/>
  <c r="G75" i="5"/>
  <c r="G74" i="5"/>
  <c r="G73" i="5"/>
  <c r="G72" i="5"/>
  <c r="G71" i="5"/>
  <c r="G70" i="5"/>
  <c r="G69" i="5"/>
  <c r="G185" i="5" s="1"/>
  <c r="G68" i="5"/>
  <c r="G67" i="5"/>
  <c r="G66" i="5"/>
  <c r="G65" i="5"/>
  <c r="G64" i="5"/>
  <c r="G63" i="5"/>
  <c r="G62" i="5"/>
  <c r="G61" i="5"/>
  <c r="G60" i="5"/>
  <c r="K59" i="5"/>
  <c r="K188" i="5" s="1"/>
  <c r="J188" i="5"/>
  <c r="I188" i="5"/>
  <c r="G56" i="5"/>
  <c r="G55" i="5"/>
  <c r="G54" i="5"/>
  <c r="G53" i="5"/>
  <c r="G52" i="5"/>
  <c r="G51" i="5"/>
  <c r="G50" i="5"/>
  <c r="E48" i="5"/>
  <c r="D48" i="5"/>
  <c r="I37" i="5"/>
  <c r="H37" i="5"/>
  <c r="F37" i="5"/>
  <c r="E37" i="5"/>
  <c r="D37" i="5"/>
  <c r="G35" i="5"/>
  <c r="G34" i="5"/>
  <c r="G33" i="5"/>
  <c r="G32" i="5"/>
  <c r="G46" i="5" s="1"/>
  <c r="G37" i="5" s="1"/>
  <c r="E31" i="5"/>
  <c r="D31" i="5"/>
  <c r="F28" i="5"/>
  <c r="G27" i="5"/>
  <c r="G112" i="5" l="1"/>
  <c r="J178" i="5"/>
  <c r="J177" i="5" s="1"/>
  <c r="J202" i="5"/>
  <c r="J200" i="5" s="1"/>
  <c r="F147" i="5"/>
  <c r="F31" i="5"/>
  <c r="G59" i="5"/>
  <c r="G188" i="5" s="1"/>
  <c r="J186" i="5"/>
  <c r="J58" i="5"/>
  <c r="J157" i="5" s="1"/>
  <c r="J158" i="5"/>
  <c r="G261" i="5"/>
  <c r="H178" i="5"/>
  <c r="H177" i="5" s="1"/>
  <c r="H202" i="5"/>
  <c r="H200" i="5" s="1"/>
  <c r="K178" i="5"/>
  <c r="K177" i="5" s="1"/>
  <c r="K200" i="5"/>
  <c r="I178" i="5"/>
  <c r="I177" i="5" s="1"/>
  <c r="G192" i="5"/>
  <c r="G171" i="5" s="1"/>
  <c r="G174" i="5" s="1"/>
  <c r="I171" i="5"/>
  <c r="I174" i="5" s="1"/>
  <c r="H171" i="5"/>
  <c r="H174" i="5" s="1"/>
  <c r="K174" i="5"/>
  <c r="K181" i="5" s="1"/>
  <c r="K215" i="5" s="1"/>
  <c r="K171" i="5"/>
  <c r="J171" i="5"/>
  <c r="J174" i="5" s="1"/>
  <c r="J181" i="5" s="1"/>
  <c r="J215" i="5" s="1"/>
  <c r="K132" i="5"/>
  <c r="J259" i="5"/>
  <c r="J257" i="5"/>
  <c r="G249" i="5"/>
  <c r="F171" i="5"/>
  <c r="H207" i="5"/>
  <c r="H206" i="5" s="1"/>
  <c r="F257" i="5"/>
  <c r="F153" i="5"/>
  <c r="F253" i="5"/>
  <c r="F57" i="5" s="1"/>
  <c r="F174" i="5"/>
  <c r="F178" i="5"/>
  <c r="F177" i="5" s="1"/>
  <c r="E132" i="5"/>
  <c r="D132" i="5"/>
  <c r="G28" i="5"/>
  <c r="G147" i="5" s="1"/>
  <c r="I132" i="5"/>
  <c r="G176" i="5"/>
  <c r="E47" i="5"/>
  <c r="I47" i="5"/>
  <c r="K47" i="5"/>
  <c r="E174" i="5"/>
  <c r="H188" i="5"/>
  <c r="H132" i="5"/>
  <c r="J132" i="5"/>
  <c r="D47" i="5"/>
  <c r="D107" i="5" s="1"/>
  <c r="D121" i="5" s="1"/>
  <c r="H47" i="5"/>
  <c r="J47" i="5"/>
  <c r="J187" i="5"/>
  <c r="G183" i="5"/>
  <c r="E202" i="5"/>
  <c r="E200" i="5" s="1"/>
  <c r="E215" i="5"/>
  <c r="E259" i="5"/>
  <c r="E249" i="5"/>
  <c r="I249" i="5"/>
  <c r="I153" i="5" s="1"/>
  <c r="G153" i="5" s="1"/>
  <c r="K249" i="5"/>
  <c r="K153" i="5" s="1"/>
  <c r="D253" i="5"/>
  <c r="D257" i="5" s="1"/>
  <c r="D259" i="5"/>
  <c r="G255" i="5"/>
  <c r="H253" i="5"/>
  <c r="H57" i="5" s="1"/>
  <c r="H259" i="5"/>
  <c r="G256" i="5"/>
  <c r="H260" i="5"/>
  <c r="G260" i="5" s="1"/>
  <c r="F258" i="5"/>
  <c r="D181" i="5"/>
  <c r="J208" i="5"/>
  <c r="I207" i="5"/>
  <c r="D256" i="2"/>
  <c r="D254" i="2"/>
  <c r="D252" i="2"/>
  <c r="D251" i="2"/>
  <c r="D255" i="2" s="1"/>
  <c r="E252" i="2"/>
  <c r="E256" i="2" s="1"/>
  <c r="E251" i="2"/>
  <c r="E255" i="2" s="1"/>
  <c r="J255" i="2"/>
  <c r="H255" i="2"/>
  <c r="F254" i="2"/>
  <c r="F252" i="2"/>
  <c r="F256" i="2" s="1"/>
  <c r="F260" i="2" s="1"/>
  <c r="F251" i="2"/>
  <c r="F255" i="2" s="1"/>
  <c r="K252" i="2"/>
  <c r="J252" i="2"/>
  <c r="J251" i="2"/>
  <c r="H259" i="2"/>
  <c r="I251" i="2"/>
  <c r="I255" i="2" s="1"/>
  <c r="K251" i="2"/>
  <c r="K255" i="2" s="1"/>
  <c r="H251" i="2"/>
  <c r="I252" i="2"/>
  <c r="H252" i="2"/>
  <c r="F199" i="2"/>
  <c r="J92" i="2"/>
  <c r="J59" i="2"/>
  <c r="I59" i="2"/>
  <c r="H59" i="2"/>
  <c r="K106" i="2"/>
  <c r="J106" i="2"/>
  <c r="I106" i="2"/>
  <c r="H106" i="2"/>
  <c r="D106" i="2"/>
  <c r="F106" i="2"/>
  <c r="E106" i="2"/>
  <c r="K59" i="2"/>
  <c r="K92" i="2"/>
  <c r="I92" i="2"/>
  <c r="H92" i="2"/>
  <c r="F92" i="2"/>
  <c r="F46" i="2"/>
  <c r="F28" i="2"/>
  <c r="H181" i="5" l="1"/>
  <c r="H215" i="5" s="1"/>
  <c r="I206" i="5"/>
  <c r="I216" i="5" s="1"/>
  <c r="H216" i="5"/>
  <c r="H58" i="5"/>
  <c r="H157" i="5" s="1"/>
  <c r="H158" i="5"/>
  <c r="F186" i="5"/>
  <c r="F158" i="5"/>
  <c r="J156" i="5"/>
  <c r="G178" i="5"/>
  <c r="G177" i="5" s="1"/>
  <c r="I181" i="5"/>
  <c r="I215" i="5" s="1"/>
  <c r="G202" i="5"/>
  <c r="G200" i="5" s="1"/>
  <c r="I200" i="5"/>
  <c r="J48" i="5"/>
  <c r="H257" i="5"/>
  <c r="K257" i="5"/>
  <c r="J107" i="5"/>
  <c r="J121" i="5" s="1"/>
  <c r="J122" i="5" s="1"/>
  <c r="G31" i="5"/>
  <c r="F58" i="5"/>
  <c r="F181" i="5"/>
  <c r="E107" i="5"/>
  <c r="E121" i="5" s="1"/>
  <c r="E122" i="5" s="1"/>
  <c r="E129" i="5" s="1"/>
  <c r="D129" i="5"/>
  <c r="K208" i="5"/>
  <c r="J207" i="5"/>
  <c r="J206" i="5" s="1"/>
  <c r="H48" i="5"/>
  <c r="H107" i="5" s="1"/>
  <c r="H121" i="5" s="1"/>
  <c r="H122" i="5" s="1"/>
  <c r="H186" i="5"/>
  <c r="I57" i="5"/>
  <c r="G253" i="5"/>
  <c r="G257" i="5" s="1"/>
  <c r="K259" i="5"/>
  <c r="K253" i="5"/>
  <c r="K57" i="5" s="1"/>
  <c r="I259" i="5"/>
  <c r="I253" i="5"/>
  <c r="I257" i="5" s="1"/>
  <c r="E253" i="5"/>
  <c r="E257" i="5" s="1"/>
  <c r="F132" i="5"/>
  <c r="F47" i="5"/>
  <c r="J208" i="2"/>
  <c r="K208" i="2" s="1"/>
  <c r="I208" i="2"/>
  <c r="H208" i="2"/>
  <c r="K179" i="2"/>
  <c r="J179" i="2"/>
  <c r="I179" i="2"/>
  <c r="H179" i="2"/>
  <c r="F179" i="2"/>
  <c r="E179" i="2"/>
  <c r="D179" i="2"/>
  <c r="D170" i="2"/>
  <c r="E170" i="2"/>
  <c r="F170" i="2"/>
  <c r="H170" i="2"/>
  <c r="I170" i="2"/>
  <c r="J170" i="2"/>
  <c r="K170" i="2"/>
  <c r="G196" i="2"/>
  <c r="K184" i="2"/>
  <c r="J184" i="2"/>
  <c r="I184" i="2"/>
  <c r="H184" i="2"/>
  <c r="G136" i="2"/>
  <c r="G120" i="2"/>
  <c r="I46" i="2"/>
  <c r="J46" i="2"/>
  <c r="K46" i="2"/>
  <c r="H46" i="2"/>
  <c r="I256" i="2"/>
  <c r="J256" i="2"/>
  <c r="K256" i="2"/>
  <c r="H256" i="2"/>
  <c r="K206" i="5" l="1"/>
  <c r="J216" i="5"/>
  <c r="H146" i="5"/>
  <c r="H145" i="5" s="1"/>
  <c r="H156" i="5"/>
  <c r="I58" i="5"/>
  <c r="I157" i="5" s="1"/>
  <c r="I156" i="5" s="1"/>
  <c r="I158" i="5"/>
  <c r="G158" i="5" s="1"/>
  <c r="F187" i="5"/>
  <c r="F157" i="5"/>
  <c r="F156" i="5" s="1"/>
  <c r="K158" i="5"/>
  <c r="K58" i="5"/>
  <c r="K157" i="5" s="1"/>
  <c r="G47" i="5"/>
  <c r="G132" i="5"/>
  <c r="F48" i="5"/>
  <c r="F107" i="5" s="1"/>
  <c r="F121" i="5" s="1"/>
  <c r="F122" i="5" s="1"/>
  <c r="F129" i="5" s="1"/>
  <c r="G168" i="5"/>
  <c r="G181" i="5" s="1"/>
  <c r="G215" i="5" s="1"/>
  <c r="D136" i="5"/>
  <c r="D135" i="5" s="1"/>
  <c r="D240" i="5"/>
  <c r="D130" i="5"/>
  <c r="D146" i="5"/>
  <c r="D145" i="5" s="1"/>
  <c r="D133" i="5"/>
  <c r="D131" i="5"/>
  <c r="E240" i="5"/>
  <c r="E136" i="5"/>
  <c r="E131" i="5"/>
  <c r="E130" i="5"/>
  <c r="E143" i="5" s="1"/>
  <c r="J129" i="5"/>
  <c r="J136" i="5" s="1"/>
  <c r="H129" i="5"/>
  <c r="E190" i="5"/>
  <c r="E146" i="5"/>
  <c r="E145" i="5" s="1"/>
  <c r="E133" i="5"/>
  <c r="G259" i="5"/>
  <c r="K186" i="5"/>
  <c r="K187" i="5"/>
  <c r="I186" i="5"/>
  <c r="G57" i="5"/>
  <c r="G186" i="5" s="1"/>
  <c r="H187" i="5"/>
  <c r="K207" i="5"/>
  <c r="G208" i="5"/>
  <c r="G207" i="5" s="1"/>
  <c r="G179" i="2"/>
  <c r="K189" i="2"/>
  <c r="F176" i="2"/>
  <c r="D176" i="2"/>
  <c r="I176" i="2"/>
  <c r="J176" i="2"/>
  <c r="K176" i="2"/>
  <c r="H176" i="2"/>
  <c r="G33" i="2"/>
  <c r="G34" i="2"/>
  <c r="G35" i="2"/>
  <c r="G32" i="2"/>
  <c r="K156" i="5" l="1"/>
  <c r="I187" i="5"/>
  <c r="H130" i="5"/>
  <c r="H136" i="5"/>
  <c r="D166" i="5"/>
  <c r="G157" i="5"/>
  <c r="G156" i="5" s="1"/>
  <c r="K216" i="5"/>
  <c r="G216" i="5" s="1"/>
  <c r="G206" i="5"/>
  <c r="G58" i="5"/>
  <c r="G187" i="5" s="1"/>
  <c r="I48" i="5"/>
  <c r="I107" i="5" s="1"/>
  <c r="I121" i="5" s="1"/>
  <c r="I122" i="5" s="1"/>
  <c r="H131" i="5"/>
  <c r="F131" i="5"/>
  <c r="F130" i="5"/>
  <c r="F240" i="5"/>
  <c r="D152" i="5"/>
  <c r="D142" i="5"/>
  <c r="D138" i="5" s="1"/>
  <c r="D143" i="5" s="1"/>
  <c r="J143" i="5"/>
  <c r="J241" i="5"/>
  <c r="J142" i="5"/>
  <c r="J138" i="5" s="1"/>
  <c r="J240" i="5"/>
  <c r="J130" i="5"/>
  <c r="J131" i="5"/>
  <c r="H240" i="5"/>
  <c r="F190" i="5"/>
  <c r="F146" i="5"/>
  <c r="F145" i="5" s="1"/>
  <c r="F133" i="5"/>
  <c r="H133" i="5"/>
  <c r="H143" i="5"/>
  <c r="H241" i="5"/>
  <c r="H142" i="5"/>
  <c r="F241" i="5"/>
  <c r="F136" i="5"/>
  <c r="J190" i="5"/>
  <c r="J146" i="5"/>
  <c r="J145" i="5" s="1"/>
  <c r="J133" i="5"/>
  <c r="E142" i="5"/>
  <c r="E138" i="5" s="1"/>
  <c r="E154" i="5"/>
  <c r="E152" i="5" s="1"/>
  <c r="E166" i="5" s="1"/>
  <c r="E135" i="5"/>
  <c r="G48" i="5"/>
  <c r="G107" i="5" s="1"/>
  <c r="K48" i="5"/>
  <c r="K107" i="5" s="1"/>
  <c r="G176" i="2"/>
  <c r="D35" i="2"/>
  <c r="D31" i="2"/>
  <c r="D34" i="2"/>
  <c r="G121" i="5" l="1"/>
  <c r="H154" i="5"/>
  <c r="H152" i="5" s="1"/>
  <c r="H166" i="5" s="1"/>
  <c r="H135" i="5"/>
  <c r="J135" i="5"/>
  <c r="J154" i="5"/>
  <c r="J152" i="5" s="1"/>
  <c r="J166" i="5" s="1"/>
  <c r="F142" i="5"/>
  <c r="F138" i="5" s="1"/>
  <c r="F135" i="5"/>
  <c r="F154" i="5"/>
  <c r="F152" i="5" s="1"/>
  <c r="F166" i="5" s="1"/>
  <c r="H190" i="5"/>
  <c r="H138" i="5"/>
  <c r="K121" i="5"/>
  <c r="K122" i="5" s="1"/>
  <c r="G122" i="5" s="1"/>
  <c r="J189" i="2"/>
  <c r="I189" i="2"/>
  <c r="H189" i="2"/>
  <c r="G146" i="5" l="1"/>
  <c r="G145" i="5" s="1"/>
  <c r="G133" i="5"/>
  <c r="G129" i="5"/>
  <c r="G241" i="5" s="1"/>
  <c r="F143" i="5"/>
  <c r="K129" i="5"/>
  <c r="K136" i="5" s="1"/>
  <c r="I146" i="5"/>
  <c r="I145" i="5" s="1"/>
  <c r="I133" i="5"/>
  <c r="G143" i="5"/>
  <c r="I129" i="5"/>
  <c r="G240" i="5"/>
  <c r="G189" i="2"/>
  <c r="G184" i="2"/>
  <c r="H188" i="2"/>
  <c r="I188" i="2"/>
  <c r="J188" i="2"/>
  <c r="K188" i="2"/>
  <c r="F188" i="2"/>
  <c r="J183" i="2"/>
  <c r="F183" i="2"/>
  <c r="H185" i="2"/>
  <c r="H183" i="2" s="1"/>
  <c r="I185" i="2"/>
  <c r="I183" i="2" s="1"/>
  <c r="J185" i="2"/>
  <c r="K185" i="2"/>
  <c r="K183" i="2" s="1"/>
  <c r="F187" i="2"/>
  <c r="I175" i="2"/>
  <c r="J175" i="2"/>
  <c r="K175" i="2"/>
  <c r="H175" i="2"/>
  <c r="F175" i="2"/>
  <c r="F169" i="2"/>
  <c r="H169" i="2"/>
  <c r="I169" i="2"/>
  <c r="J169" i="2"/>
  <c r="K169" i="2"/>
  <c r="H147" i="2"/>
  <c r="I147" i="2"/>
  <c r="J147" i="2"/>
  <c r="K147" i="2"/>
  <c r="F147" i="2"/>
  <c r="G142" i="2"/>
  <c r="F138" i="2"/>
  <c r="F135" i="2"/>
  <c r="H135" i="2"/>
  <c r="I135" i="2"/>
  <c r="J135" i="2"/>
  <c r="K135" i="2"/>
  <c r="G113" i="2"/>
  <c r="G106" i="2"/>
  <c r="G130" i="5" l="1"/>
  <c r="I143" i="5"/>
  <c r="I136" i="5"/>
  <c r="G136" i="5" s="1"/>
  <c r="G142" i="5" s="1"/>
  <c r="G138" i="5" s="1"/>
  <c r="G131" i="5"/>
  <c r="K131" i="5"/>
  <c r="K240" i="5"/>
  <c r="K130" i="5"/>
  <c r="K190" i="5"/>
  <c r="K146" i="5"/>
  <c r="K145" i="5" s="1"/>
  <c r="K133" i="5"/>
  <c r="I241" i="5"/>
  <c r="I240" i="5"/>
  <c r="I130" i="5"/>
  <c r="I131" i="5"/>
  <c r="I190" i="5"/>
  <c r="G189" i="5"/>
  <c r="G190" i="5" s="1"/>
  <c r="K143" i="5"/>
  <c r="K241" i="5"/>
  <c r="K142" i="5"/>
  <c r="K138" i="5" s="1"/>
  <c r="G175" i="2"/>
  <c r="G135" i="2"/>
  <c r="G154" i="5" l="1"/>
  <c r="G152" i="5" s="1"/>
  <c r="G166" i="5" s="1"/>
  <c r="K154" i="5"/>
  <c r="K152" i="5" s="1"/>
  <c r="K166" i="5" s="1"/>
  <c r="K135" i="5"/>
  <c r="I135" i="5"/>
  <c r="I154" i="5"/>
  <c r="I152" i="5" s="1"/>
  <c r="I166" i="5" s="1"/>
  <c r="G115" i="2"/>
  <c r="G92" i="2"/>
  <c r="G51" i="2"/>
  <c r="G52" i="2"/>
  <c r="G53" i="2"/>
  <c r="G54" i="2"/>
  <c r="G55" i="2"/>
  <c r="G56" i="2"/>
  <c r="G59" i="2"/>
  <c r="G188" i="2" s="1"/>
  <c r="G60" i="2"/>
  <c r="G61" i="2"/>
  <c r="G62" i="2"/>
  <c r="G63" i="2"/>
  <c r="G64" i="2"/>
  <c r="G65" i="2"/>
  <c r="G66" i="2"/>
  <c r="G67" i="2"/>
  <c r="G68" i="2"/>
  <c r="G69" i="2"/>
  <c r="G185" i="2" s="1"/>
  <c r="G183" i="2" s="1"/>
  <c r="G70" i="2"/>
  <c r="G71" i="2"/>
  <c r="G72" i="2"/>
  <c r="G73" i="2"/>
  <c r="G74" i="2"/>
  <c r="G75" i="2"/>
  <c r="G76" i="2"/>
  <c r="G77" i="2"/>
  <c r="G78" i="2"/>
  <c r="G50" i="2"/>
  <c r="G46" i="2"/>
  <c r="G28" i="2"/>
  <c r="G147" i="2" s="1"/>
  <c r="G27" i="2"/>
  <c r="G206" i="2"/>
  <c r="H206" i="2"/>
  <c r="H216" i="2" s="1"/>
  <c r="G217" i="2"/>
  <c r="I216" i="2"/>
  <c r="J216" i="2"/>
  <c r="K216" i="2"/>
  <c r="G216" i="2"/>
  <c r="G214" i="2"/>
  <c r="G209" i="2"/>
  <c r="G202" i="2"/>
  <c r="G197" i="2"/>
  <c r="I260" i="2"/>
  <c r="J260" i="2"/>
  <c r="K260" i="2"/>
  <c r="I259" i="2"/>
  <c r="J259" i="2"/>
  <c r="K259" i="2"/>
  <c r="H260" i="2"/>
  <c r="I258" i="2"/>
  <c r="J258" i="2"/>
  <c r="K258" i="2"/>
  <c r="H258" i="2"/>
  <c r="F258" i="2"/>
  <c r="E260" i="2"/>
  <c r="E259" i="2"/>
  <c r="F259" i="2"/>
  <c r="D259" i="2"/>
  <c r="D260" i="2"/>
  <c r="E258" i="2"/>
  <c r="D258" i="2"/>
  <c r="G255" i="2"/>
  <c r="G256" i="2"/>
  <c r="G254" i="2"/>
  <c r="G251" i="2"/>
  <c r="G252" i="2"/>
  <c r="G250" i="2"/>
  <c r="F207" i="2"/>
  <c r="H207" i="2"/>
  <c r="J207" i="2"/>
  <c r="D245" i="2"/>
  <c r="E245" i="2"/>
  <c r="E207" i="2"/>
  <c r="D207" i="2"/>
  <c r="E183" i="2"/>
  <c r="D183" i="2"/>
  <c r="D190" i="2" s="1"/>
  <c r="E175" i="2"/>
  <c r="D175" i="2"/>
  <c r="E169" i="2"/>
  <c r="D169" i="2"/>
  <c r="E135" i="2"/>
  <c r="D135" i="2"/>
  <c r="G258" i="2" l="1"/>
  <c r="G135" i="5"/>
  <c r="G249" i="2"/>
  <c r="G153" i="2" s="1"/>
  <c r="G170" i="2"/>
  <c r="G169" i="2" s="1"/>
  <c r="G259" i="2"/>
  <c r="G260" i="2"/>
  <c r="E48" i="2"/>
  <c r="E31" i="2" l="1"/>
  <c r="G263" i="4" l="1"/>
  <c r="F263" i="4"/>
  <c r="G262" i="4"/>
  <c r="F262" i="4"/>
  <c r="G261" i="4"/>
  <c r="F261" i="4"/>
  <c r="E260" i="4"/>
  <c r="D260" i="4"/>
  <c r="F260" i="4" s="1"/>
  <c r="G259" i="4"/>
  <c r="F259" i="4"/>
  <c r="G258" i="4"/>
  <c r="F258" i="4"/>
  <c r="G257" i="4"/>
  <c r="F257" i="4"/>
  <c r="E256" i="4"/>
  <c r="D256" i="4"/>
  <c r="F256" i="4" s="1"/>
  <c r="G255" i="4"/>
  <c r="F255" i="4"/>
  <c r="G254" i="4"/>
  <c r="F254" i="4"/>
  <c r="G253" i="4"/>
  <c r="F253" i="4"/>
  <c r="E252" i="4"/>
  <c r="D252" i="4"/>
  <c r="F252" i="4" s="1"/>
  <c r="G251" i="4"/>
  <c r="F251" i="4"/>
  <c r="G250" i="4"/>
  <c r="F250" i="4"/>
  <c r="G249" i="4"/>
  <c r="F249" i="4"/>
  <c r="E248" i="4"/>
  <c r="D248" i="4"/>
  <c r="F248" i="4" s="1"/>
  <c r="G247" i="4"/>
  <c r="F247" i="4"/>
  <c r="G246" i="4"/>
  <c r="F246" i="4"/>
  <c r="G245" i="4"/>
  <c r="F245" i="4"/>
  <c r="E244" i="4"/>
  <c r="D244" i="4"/>
  <c r="F244" i="4" s="1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D234" i="4"/>
  <c r="F234" i="4" s="1"/>
  <c r="G233" i="4"/>
  <c r="F233" i="4"/>
  <c r="G232" i="4"/>
  <c r="F232" i="4"/>
  <c r="E231" i="4"/>
  <c r="D231" i="4"/>
  <c r="G230" i="4"/>
  <c r="F230" i="4"/>
  <c r="G229" i="4"/>
  <c r="F229" i="4"/>
  <c r="E228" i="4"/>
  <c r="D228" i="4"/>
  <c r="F228" i="4" s="1"/>
  <c r="G227" i="4"/>
  <c r="F227" i="4"/>
  <c r="G226" i="4"/>
  <c r="F226" i="4"/>
  <c r="E225" i="4"/>
  <c r="D225" i="4"/>
  <c r="E224" i="4"/>
  <c r="D224" i="4"/>
  <c r="F224" i="4" s="1"/>
  <c r="G223" i="4"/>
  <c r="F223" i="4"/>
  <c r="G222" i="4"/>
  <c r="F222" i="4"/>
  <c r="G221" i="4"/>
  <c r="F221" i="4"/>
  <c r="E220" i="4"/>
  <c r="D220" i="4"/>
  <c r="F220" i="4" s="1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D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D191" i="4"/>
  <c r="E189" i="4"/>
  <c r="D189" i="4"/>
  <c r="F189" i="4" s="1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D176" i="4"/>
  <c r="G175" i="4"/>
  <c r="F175" i="4"/>
  <c r="E174" i="4"/>
  <c r="D174" i="4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D163" i="4"/>
  <c r="F163" i="4" s="1"/>
  <c r="G162" i="4"/>
  <c r="F162" i="4"/>
  <c r="G161" i="4"/>
  <c r="F161" i="4"/>
  <c r="E160" i="4"/>
  <c r="D160" i="4"/>
  <c r="E159" i="4"/>
  <c r="D159" i="4"/>
  <c r="G158" i="4"/>
  <c r="F158" i="4"/>
  <c r="G157" i="4"/>
  <c r="F157" i="4"/>
  <c r="E156" i="4"/>
  <c r="D156" i="4"/>
  <c r="G155" i="4"/>
  <c r="F155" i="4"/>
  <c r="G154" i="4"/>
  <c r="F154" i="4"/>
  <c r="G153" i="4"/>
  <c r="F153" i="4"/>
  <c r="E152" i="4"/>
  <c r="D152" i="4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D145" i="4"/>
  <c r="F145" i="4" s="1"/>
  <c r="G142" i="4"/>
  <c r="F142" i="4"/>
  <c r="G141" i="4"/>
  <c r="F141" i="4"/>
  <c r="G140" i="4"/>
  <c r="F140" i="4"/>
  <c r="G139" i="4"/>
  <c r="F139" i="4"/>
  <c r="E138" i="4"/>
  <c r="D138" i="4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D116" i="4"/>
  <c r="F116" i="4" s="1"/>
  <c r="G115" i="4"/>
  <c r="F115" i="4"/>
  <c r="G114" i="4"/>
  <c r="F114" i="4"/>
  <c r="G113" i="4"/>
  <c r="F113" i="4"/>
  <c r="E112" i="4"/>
  <c r="D112" i="4"/>
  <c r="F112" i="4" s="1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D97" i="4"/>
  <c r="F97" i="4" s="1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D87" i="4"/>
  <c r="F87" i="4" s="1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D79" i="4"/>
  <c r="F79" i="4" s="1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D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D37" i="4"/>
  <c r="G36" i="4"/>
  <c r="F36" i="4"/>
  <c r="G35" i="4"/>
  <c r="F35" i="4"/>
  <c r="G34" i="4"/>
  <c r="F34" i="4"/>
  <c r="G33" i="4"/>
  <c r="F33" i="4"/>
  <c r="G32" i="4"/>
  <c r="F32" i="4"/>
  <c r="E31" i="4"/>
  <c r="D31" i="4"/>
  <c r="G30" i="4"/>
  <c r="F30" i="4"/>
  <c r="G29" i="4"/>
  <c r="F29" i="4"/>
  <c r="G28" i="4"/>
  <c r="F28" i="4"/>
  <c r="G27" i="4"/>
  <c r="F27" i="4"/>
  <c r="D132" i="4" l="1"/>
  <c r="D133" i="4"/>
  <c r="F48" i="4"/>
  <c r="F138" i="4"/>
  <c r="F152" i="4"/>
  <c r="F156" i="4"/>
  <c r="F160" i="4"/>
  <c r="F174" i="4"/>
  <c r="F176" i="4"/>
  <c r="F191" i="4"/>
  <c r="F199" i="4"/>
  <c r="F225" i="4"/>
  <c r="F231" i="4"/>
  <c r="E132" i="4"/>
  <c r="E133" i="4"/>
  <c r="D166" i="4"/>
  <c r="F166" i="4" s="1"/>
  <c r="G48" i="4"/>
  <c r="G79" i="4"/>
  <c r="G87" i="4"/>
  <c r="G97" i="4"/>
  <c r="G112" i="4"/>
  <c r="G116" i="4"/>
  <c r="G138" i="4"/>
  <c r="G145" i="4"/>
  <c r="G152" i="4"/>
  <c r="G156" i="4"/>
  <c r="E166" i="4"/>
  <c r="G160" i="4"/>
  <c r="G163" i="4"/>
  <c r="G174" i="4"/>
  <c r="G176" i="4"/>
  <c r="G189" i="4"/>
  <c r="G191" i="4"/>
  <c r="G199" i="4"/>
  <c r="G220" i="4"/>
  <c r="G224" i="4"/>
  <c r="G225" i="4"/>
  <c r="G228" i="4"/>
  <c r="G231" i="4"/>
  <c r="G234" i="4"/>
  <c r="G244" i="4"/>
  <c r="G248" i="4"/>
  <c r="G252" i="4"/>
  <c r="G256" i="4"/>
  <c r="G260" i="4"/>
  <c r="G132" i="4"/>
  <c r="F132" i="4"/>
  <c r="G133" i="4"/>
  <c r="F133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G166" i="4" l="1"/>
  <c r="D107" i="4"/>
  <c r="F47" i="4"/>
  <c r="G47" i="4"/>
  <c r="E143" i="4"/>
  <c r="E131" i="4"/>
  <c r="E130" i="4"/>
  <c r="K261" i="2"/>
  <c r="J261" i="2"/>
  <c r="I261" i="2"/>
  <c r="H261" i="2"/>
  <c r="G261" i="2"/>
  <c r="F261" i="2"/>
  <c r="E261" i="2"/>
  <c r="D261" i="2"/>
  <c r="K257" i="2"/>
  <c r="J257" i="2"/>
  <c r="I257" i="2"/>
  <c r="H257" i="2"/>
  <c r="G257" i="2"/>
  <c r="F257" i="2"/>
  <c r="E257" i="2"/>
  <c r="D257" i="2"/>
  <c r="K253" i="2"/>
  <c r="K57" i="2" s="1"/>
  <c r="K186" i="2" s="1"/>
  <c r="J253" i="2"/>
  <c r="J57" i="2" s="1"/>
  <c r="I253" i="2"/>
  <c r="H253" i="2"/>
  <c r="H57" i="2" s="1"/>
  <c r="G253" i="2"/>
  <c r="F253" i="2"/>
  <c r="F57" i="2" s="1"/>
  <c r="F186" i="2" s="1"/>
  <c r="F190" i="2" s="1"/>
  <c r="E253" i="2"/>
  <c r="D253" i="2"/>
  <c r="K249" i="2"/>
  <c r="K153" i="2" s="1"/>
  <c r="K152" i="2" s="1"/>
  <c r="J249" i="2"/>
  <c r="J153" i="2" s="1"/>
  <c r="J152" i="2" s="1"/>
  <c r="I249" i="2"/>
  <c r="H249" i="2"/>
  <c r="H153" i="2" s="1"/>
  <c r="H152" i="2" s="1"/>
  <c r="F249" i="2"/>
  <c r="F153" i="2" s="1"/>
  <c r="F152" i="2" s="1"/>
  <c r="E249" i="2"/>
  <c r="E153" i="2" s="1"/>
  <c r="E152" i="2" s="1"/>
  <c r="D249" i="2"/>
  <c r="K245" i="2"/>
  <c r="J245" i="2"/>
  <c r="I245" i="2"/>
  <c r="H245" i="2"/>
  <c r="G245" i="2"/>
  <c r="F245" i="2"/>
  <c r="K235" i="2"/>
  <c r="J235" i="2"/>
  <c r="I235" i="2"/>
  <c r="H235" i="2"/>
  <c r="G235" i="2"/>
  <c r="F235" i="2"/>
  <c r="E235" i="2"/>
  <c r="D235" i="2"/>
  <c r="K232" i="2"/>
  <c r="J232" i="2"/>
  <c r="I232" i="2"/>
  <c r="H232" i="2"/>
  <c r="G232" i="2"/>
  <c r="F232" i="2"/>
  <c r="E232" i="2"/>
  <c r="D232" i="2"/>
  <c r="K229" i="2"/>
  <c r="J229" i="2"/>
  <c r="I229" i="2"/>
  <c r="H229" i="2"/>
  <c r="G229" i="2"/>
  <c r="F229" i="2"/>
  <c r="E229" i="2"/>
  <c r="D229" i="2"/>
  <c r="K226" i="2"/>
  <c r="J226" i="2"/>
  <c r="I226" i="2"/>
  <c r="H226" i="2"/>
  <c r="G226" i="2"/>
  <c r="F226" i="2"/>
  <c r="E226" i="2"/>
  <c r="D226" i="2"/>
  <c r="D225" i="2" s="1"/>
  <c r="K225" i="2"/>
  <c r="J225" i="2"/>
  <c r="I225" i="2"/>
  <c r="H225" i="2"/>
  <c r="G225" i="2"/>
  <c r="F225" i="2"/>
  <c r="E225" i="2"/>
  <c r="K221" i="2"/>
  <c r="J221" i="2"/>
  <c r="I221" i="2"/>
  <c r="H221" i="2"/>
  <c r="G221" i="2"/>
  <c r="F221" i="2"/>
  <c r="E221" i="2"/>
  <c r="D221" i="2"/>
  <c r="K200" i="2"/>
  <c r="J200" i="2"/>
  <c r="I200" i="2"/>
  <c r="H200" i="2"/>
  <c r="G200" i="2"/>
  <c r="K192" i="2"/>
  <c r="J192" i="2"/>
  <c r="I192" i="2"/>
  <c r="H192" i="2"/>
  <c r="G192" i="2"/>
  <c r="F192" i="2"/>
  <c r="E192" i="2"/>
  <c r="D192" i="2"/>
  <c r="E190" i="2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F160" i="2"/>
  <c r="E160" i="2"/>
  <c r="D160" i="2"/>
  <c r="K159" i="2"/>
  <c r="J159" i="2"/>
  <c r="I159" i="2"/>
  <c r="H159" i="2"/>
  <c r="G159" i="2"/>
  <c r="F159" i="2"/>
  <c r="E159" i="2"/>
  <c r="D159" i="2"/>
  <c r="F156" i="2"/>
  <c r="E156" i="2"/>
  <c r="D156" i="2"/>
  <c r="G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F79" i="2"/>
  <c r="E79" i="2"/>
  <c r="D79" i="2"/>
  <c r="F48" i="2"/>
  <c r="D48" i="2"/>
  <c r="K37" i="2"/>
  <c r="J37" i="2"/>
  <c r="I37" i="2"/>
  <c r="H37" i="2"/>
  <c r="G37" i="2"/>
  <c r="F37" i="2"/>
  <c r="E37" i="2"/>
  <c r="E47" i="2" s="1"/>
  <c r="D37" i="2"/>
  <c r="K31" i="2"/>
  <c r="J31" i="2"/>
  <c r="I31" i="2"/>
  <c r="H31" i="2"/>
  <c r="G31" i="2"/>
  <c r="F31" i="2"/>
  <c r="F132" i="2" s="1"/>
  <c r="E132" i="2"/>
  <c r="D132" i="2"/>
  <c r="I57" i="2" l="1"/>
  <c r="I58" i="2" s="1"/>
  <c r="I153" i="2"/>
  <c r="I152" i="2" s="1"/>
  <c r="D178" i="2"/>
  <c r="D177" i="2" s="1"/>
  <c r="D202" i="2"/>
  <c r="D200" i="2" s="1"/>
  <c r="D171" i="2"/>
  <c r="D174" i="2" s="1"/>
  <c r="G178" i="2"/>
  <c r="G177" i="2" s="1"/>
  <c r="G171" i="2"/>
  <c r="G174" i="2" s="1"/>
  <c r="K171" i="2"/>
  <c r="K174" i="2" s="1"/>
  <c r="K178" i="2"/>
  <c r="K177" i="2" s="1"/>
  <c r="J178" i="2"/>
  <c r="J177" i="2" s="1"/>
  <c r="J171" i="2"/>
  <c r="J174" i="2" s="1"/>
  <c r="I171" i="2"/>
  <c r="I174" i="2" s="1"/>
  <c r="I178" i="2"/>
  <c r="I177" i="2" s="1"/>
  <c r="H178" i="2"/>
  <c r="H177" i="2" s="1"/>
  <c r="H171" i="2"/>
  <c r="H174" i="2" s="1"/>
  <c r="E178" i="2"/>
  <c r="E177" i="2" s="1"/>
  <c r="E202" i="2"/>
  <c r="E200" i="2" s="1"/>
  <c r="E171" i="2"/>
  <c r="E174" i="2" s="1"/>
  <c r="F202" i="2"/>
  <c r="F200" i="2" s="1"/>
  <c r="F178" i="2"/>
  <c r="F177" i="2" s="1"/>
  <c r="F171" i="2"/>
  <c r="F174" i="2" s="1"/>
  <c r="I132" i="2"/>
  <c r="G132" i="2"/>
  <c r="K132" i="2"/>
  <c r="J132" i="2"/>
  <c r="H132" i="2"/>
  <c r="H181" i="2"/>
  <c r="H215" i="2" s="1"/>
  <c r="J58" i="2"/>
  <c r="J186" i="2"/>
  <c r="H58" i="2"/>
  <c r="H48" i="2" s="1"/>
  <c r="H133" i="2" s="1"/>
  <c r="H186" i="2"/>
  <c r="G79" i="2"/>
  <c r="D133" i="2"/>
  <c r="K58" i="2"/>
  <c r="K48" i="2" s="1"/>
  <c r="K133" i="2" s="1"/>
  <c r="F133" i="2"/>
  <c r="E133" i="2"/>
  <c r="D166" i="2"/>
  <c r="F166" i="2"/>
  <c r="E166" i="2"/>
  <c r="D121" i="4"/>
  <c r="F107" i="4"/>
  <c r="G107" i="4"/>
  <c r="D47" i="2"/>
  <c r="D107" i="2" s="1"/>
  <c r="F47" i="2"/>
  <c r="F107" i="2" s="1"/>
  <c r="H47" i="2"/>
  <c r="J47" i="2"/>
  <c r="E107" i="2"/>
  <c r="E121" i="2" s="1"/>
  <c r="E129" i="2" s="1"/>
  <c r="G47" i="2"/>
  <c r="I47" i="2"/>
  <c r="K47" i="2"/>
  <c r="I186" i="2" l="1"/>
  <c r="G58" i="2"/>
  <c r="G187" i="2" s="1"/>
  <c r="G57" i="2"/>
  <c r="D181" i="2"/>
  <c r="J181" i="2"/>
  <c r="J215" i="2" s="1"/>
  <c r="I181" i="2"/>
  <c r="I215" i="2" s="1"/>
  <c r="F181" i="2"/>
  <c r="G168" i="2" s="1"/>
  <c r="G181" i="2" s="1"/>
  <c r="K181" i="2"/>
  <c r="K215" i="2" s="1"/>
  <c r="G215" i="2" s="1"/>
  <c r="E181" i="2"/>
  <c r="E241" i="2"/>
  <c r="E240" i="2"/>
  <c r="J187" i="2"/>
  <c r="J190" i="2" s="1"/>
  <c r="K187" i="2"/>
  <c r="K190" i="2" s="1"/>
  <c r="J48" i="2"/>
  <c r="J133" i="2" s="1"/>
  <c r="J156" i="2"/>
  <c r="J166" i="2" s="1"/>
  <c r="H187" i="2"/>
  <c r="H190" i="2" s="1"/>
  <c r="I187" i="2"/>
  <c r="G158" i="2"/>
  <c r="I48" i="2"/>
  <c r="I133" i="2" s="1"/>
  <c r="H107" i="2"/>
  <c r="H121" i="2" s="1"/>
  <c r="H129" i="2" s="1"/>
  <c r="D121" i="2"/>
  <c r="D129" i="2" s="1"/>
  <c r="F121" i="2"/>
  <c r="F129" i="2" s="1"/>
  <c r="K107" i="2"/>
  <c r="K121" i="2" s="1"/>
  <c r="K129" i="2" s="1"/>
  <c r="G121" i="4"/>
  <c r="D129" i="4"/>
  <c r="F121" i="4"/>
  <c r="E143" i="2"/>
  <c r="E131" i="2"/>
  <c r="E130" i="2"/>
  <c r="I190" i="2" l="1"/>
  <c r="G48" i="2"/>
  <c r="G133" i="2" s="1"/>
  <c r="G186" i="2"/>
  <c r="G190" i="2" s="1"/>
  <c r="G107" i="2"/>
  <c r="G121" i="2" s="1"/>
  <c r="G129" i="2" s="1"/>
  <c r="G240" i="2" s="1"/>
  <c r="F143" i="2"/>
  <c r="F241" i="2"/>
  <c r="F240" i="2"/>
  <c r="D240" i="2"/>
  <c r="D241" i="2"/>
  <c r="K143" i="2"/>
  <c r="K240" i="2"/>
  <c r="K241" i="2"/>
  <c r="K156" i="2"/>
  <c r="K166" i="2" s="1"/>
  <c r="J107" i="2"/>
  <c r="J121" i="2" s="1"/>
  <c r="J129" i="2" s="1"/>
  <c r="H241" i="2"/>
  <c r="H240" i="2"/>
  <c r="H156" i="2"/>
  <c r="H166" i="2" s="1"/>
  <c r="H130" i="2"/>
  <c r="G157" i="2"/>
  <c r="G156" i="2" s="1"/>
  <c r="G166" i="2" s="1"/>
  <c r="I107" i="2"/>
  <c r="I121" i="2" s="1"/>
  <c r="I129" i="2" s="1"/>
  <c r="I156" i="2"/>
  <c r="I166" i="2" s="1"/>
  <c r="H143" i="2"/>
  <c r="H131" i="2"/>
  <c r="K130" i="2"/>
  <c r="D131" i="2"/>
  <c r="D143" i="2"/>
  <c r="D130" i="2"/>
  <c r="F131" i="2"/>
  <c r="F130" i="2"/>
  <c r="K131" i="2"/>
  <c r="G129" i="4"/>
  <c r="D143" i="4"/>
  <c r="D131" i="4"/>
  <c r="D130" i="4"/>
  <c r="F129" i="4"/>
  <c r="G130" i="2" l="1"/>
  <c r="G131" i="2"/>
  <c r="G241" i="2"/>
  <c r="J241" i="2"/>
  <c r="J240" i="2"/>
  <c r="J131" i="2"/>
  <c r="J143" i="2"/>
  <c r="J130" i="2"/>
  <c r="I143" i="2"/>
  <c r="I240" i="2"/>
  <c r="I241" i="2"/>
  <c r="I131" i="2"/>
  <c r="I130" i="2"/>
  <c r="G130" i="4"/>
  <c r="F130" i="4"/>
  <c r="G143" i="4"/>
  <c r="F143" i="4"/>
  <c r="G131" i="4"/>
  <c r="F131" i="4"/>
  <c r="G143" i="2" l="1"/>
  <c r="K207" i="2"/>
  <c r="G208" i="2"/>
  <c r="G207" i="2" s="1"/>
  <c r="I207" i="2" l="1"/>
</calcChain>
</file>

<file path=xl/sharedStrings.xml><?xml version="1.0" encoding="utf-8"?>
<sst xmlns="http://schemas.openxmlformats.org/spreadsheetml/2006/main" count="1333" uniqueCount="452">
  <si>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</si>
  <si>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</si>
  <si>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</si>
  <si>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</si>
  <si>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</si>
  <si>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</si>
  <si>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 xml:space="preserve">" 21" липня  2020 р. № 430 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</si>
  <si>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</si>
  <si>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</si>
  <si>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</si>
  <si>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</si>
  <si>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</si>
  <si>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</si>
  <si>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</si>
  <si>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</si>
  <si>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</si>
  <si>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</si>
  <si>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</si>
  <si>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</si>
  <si>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</si>
  <si>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</si>
  <si>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</si>
  <si>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</si>
  <si>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</si>
  <si>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</si>
  <si>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</si>
  <si>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</si>
  <si>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</si>
  <si>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</si>
  <si>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</si>
  <si>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</si>
  <si>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</si>
  <si>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</si>
  <si>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</si>
  <si>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</si>
  <si>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</si>
  <si>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</si>
  <si>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</si>
  <si>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</si>
  <si>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</si>
  <si>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</si>
  <si>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</si>
  <si>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</si>
  <si>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</si>
  <si>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</si>
  <si>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</si>
  <si>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</si>
  <si>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</si>
  <si>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</si>
  <si>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</si>
  <si>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</si>
  <si>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</si>
  <si>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</si>
  <si>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</si>
  <si>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</si>
  <si>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</si>
  <si>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</si>
  <si>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</si>
  <si>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</si>
  <si>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</si>
  <si>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</si>
  <si>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</si>
  <si>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</si>
  <si>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</si>
  <si>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</si>
  <si>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</si>
  <si>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</si>
  <si>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</si>
  <si>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</si>
  <si>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</si>
  <si>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</si>
  <si>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</si>
  <si>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</si>
  <si>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</si>
  <si>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</si>
  <si>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</si>
  <si>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</si>
  <si>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</si>
  <si>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</si>
  <si>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</si>
  <si>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</si>
  <si>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</si>
  <si>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</si>
  <si>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</si>
  <si>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</si>
  <si>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</si>
  <si>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</si>
  <si>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</si>
  <si>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</si>
  <si>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</si>
  <si>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</si>
  <si>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</si>
  <si>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</si>
  <si>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</si>
  <si>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</si>
  <si>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</si>
  <si>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</si>
  <si>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</si>
  <si>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</si>
  <si>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</si>
  <si>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</si>
  <si>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</si>
  <si>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</si>
  <si>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</si>
  <si>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</si>
  <si>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</si>
  <si>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</si>
  <si>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</si>
  <si>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</si>
  <si>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</si>
  <si>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</si>
  <si>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</si>
  <si>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</si>
  <si>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</si>
  <si>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</si>
  <si>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</si>
  <si>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</si>
  <si>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</si>
  <si>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</si>
  <si>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</si>
  <si>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</si>
  <si>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</si>
  <si>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</si>
  <si>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</si>
  <si>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</si>
  <si>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</si>
  <si>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</si>
  <si>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</si>
  <si>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</si>
  <si>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</si>
  <si>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</si>
  <si>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</si>
  <si>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</si>
  <si>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</si>
  <si>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</si>
  <si>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</si>
  <si>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</si>
  <si>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</si>
  <si>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</si>
  <si>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</si>
  <si>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</si>
  <si>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</si>
  <si>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</si>
  <si>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</si>
  <si>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</si>
  <si>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</si>
  <si>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</si>
  <si>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</si>
  <si>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</si>
  <si>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</si>
  <si>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</si>
  <si>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</si>
  <si>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</si>
  <si>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</si>
  <si>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</si>
  <si>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</si>
  <si>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</si>
  <si>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</si>
  <si>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</si>
  <si>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</si>
  <si>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</si>
  <si>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</si>
  <si>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</si>
  <si>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</si>
  <si>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</si>
  <si>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</si>
  <si>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</si>
  <si>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</si>
  <si>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</si>
  <si>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</si>
  <si>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</si>
  <si>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</si>
  <si>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</si>
  <si>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</si>
  <si>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</si>
  <si>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</si>
  <si>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</si>
  <si>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</si>
  <si>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</si>
  <si>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</si>
  <si>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</si>
  <si>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</si>
  <si>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</si>
  <si>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</si>
  <si>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</si>
  <si>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</si>
  <si>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</si>
  <si>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</si>
  <si>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</si>
  <si>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</si>
  <si>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</si>
  <si>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</si>
  <si>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</si>
  <si>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</si>
  <si>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</si>
  <si>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</si>
  <si>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</si>
  <si>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</si>
  <si>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</si>
  <si>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</si>
  <si>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</si>
  <si>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</si>
  <si>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</si>
  <si>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</si>
  <si>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</si>
  <si>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</si>
  <si>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</si>
  <si>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</si>
  <si>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</si>
  <si>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</si>
  <si>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</si>
  <si>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</si>
  <si>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</si>
  <si>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</si>
  <si>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</si>
  <si>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</si>
  <si>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</si>
  <si>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</si>
  <si>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</si>
  <si>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</si>
  <si>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</si>
  <si>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</si>
  <si>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</si>
  <si>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</si>
  <si>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</si>
  <si>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</si>
  <si>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</si>
  <si>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</si>
  <si>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</si>
  <si>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</si>
  <si>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</si>
  <si>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</si>
  <si>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</si>
  <si>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</si>
  <si>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</si>
  <si>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</si>
  <si>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</si>
  <si>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</si>
  <si>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</si>
  <si>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</si>
  <si>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</si>
  <si>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</si>
  <si>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</si>
  <si>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</si>
  <si>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</si>
  <si>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</si>
  <si>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</si>
  <si>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</si>
  <si>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</si>
  <si>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</si>
  <si>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</si>
  <si>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</si>
  <si>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</si>
  <si>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</si>
  <si>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</si>
  <si>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</si>
  <si>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</si>
  <si>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</si>
  <si>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</si>
  <si>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</si>
  <si>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</si>
  <si>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</si>
  <si>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</si>
  <si>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</si>
  <si>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</si>
  <si>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</si>
  <si>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</si>
  <si>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</si>
  <si>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</si>
  <si>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</si>
  <si>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</si>
  <si>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</si>
  <si>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</si>
  <si>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</si>
  <si>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</si>
  <si>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</si>
  <si>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</si>
  <si>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</si>
  <si>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</si>
  <si>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</si>
  <si>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</si>
  <si>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</si>
  <si>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</si>
  <si>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</si>
  <si>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</si>
  <si>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</si>
  <si>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</si>
  <si>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</si>
  <si>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</si>
  <si>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</si>
  <si>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</si>
  <si>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</si>
  <si>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</si>
  <si>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</si>
  <si>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</si>
  <si>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</si>
  <si>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</si>
  <si>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</si>
  <si>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</si>
  <si>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</si>
  <si>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</si>
  <si>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</si>
  <si>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</si>
  <si>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</si>
  <si>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</si>
  <si>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</si>
  <si>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</si>
  <si>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</si>
  <si>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</si>
  <si>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</si>
  <si>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</si>
  <si>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</si>
  <si>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</si>
  <si>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</si>
  <si>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</si>
  <si>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</si>
  <si>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</si>
  <si>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</si>
  <si>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</si>
  <si>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</si>
  <si>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</si>
  <si>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</si>
  <si>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</si>
  <si>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</si>
  <si>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</si>
  <si>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</si>
  <si>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</si>
  <si>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</si>
  <si>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</si>
  <si>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</si>
  <si>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</si>
  <si>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</si>
  <si>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</si>
  <si>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</si>
  <si>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</si>
  <si>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</si>
  <si>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</si>
  <si>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</si>
  <si>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</si>
  <si>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</si>
  <si>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</si>
  <si>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</si>
  <si>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</si>
  <si>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</si>
  <si>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</si>
  <si>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</si>
  <si>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</si>
  <si>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</si>
  <si>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</si>
  <si>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</si>
  <si>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</si>
  <si>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</si>
  <si>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</si>
  <si>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</si>
  <si>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</si>
  <si>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</si>
  <si>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</si>
  <si>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</si>
  <si>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</si>
  <si>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</si>
  <si>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</si>
  <si>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</si>
  <si>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</si>
  <si>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</si>
  <si>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</si>
  <si>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</si>
  <si>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</si>
  <si>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</si>
  <si>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</si>
  <si>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</si>
  <si>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</si>
  <si>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</si>
  <si>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</si>
  <si>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</si>
  <si>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</si>
  <si>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</si>
  <si>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</si>
  <si>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</si>
  <si>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</si>
  <si>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</si>
  <si>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</si>
  <si>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</si>
  <si>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</si>
  <si>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</si>
  <si>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</si>
  <si>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</si>
  <si>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</si>
  <si>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</si>
  <si>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</si>
  <si>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</si>
  <si>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</si>
  <si>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</si>
  <si>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</si>
  <si>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</si>
  <si>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</si>
  <si>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</si>
  <si>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</si>
  <si>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 ПІДПРИЄМСТВА за       _______ 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</si>
  <si>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</si>
  <si>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</si>
  <si>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</si>
  <si>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</si>
  <si>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</si>
  <si>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</si>
  <si>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</si>
  <si>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О. В. Горб</t>
  </si>
  <si>
    <t xml:space="preserve">КП "Бучазеленбуд" </t>
  </si>
  <si>
    <t>м.Буча</t>
  </si>
  <si>
    <t>комунальне підприємство</t>
  </si>
  <si>
    <t>надання ландшафтних послуг</t>
  </si>
  <si>
    <t>Галущак В.М.</t>
  </si>
  <si>
    <t>81.30</t>
  </si>
  <si>
    <t xml:space="preserve"> на 2021 рік</t>
  </si>
  <si>
    <t>продаж деревини</t>
  </si>
  <si>
    <t>послуги з обстеження зелених насаджень</t>
  </si>
  <si>
    <t>послуги з прибирання території</t>
  </si>
  <si>
    <t>послуги з озеленення</t>
  </si>
  <si>
    <t>послуги з оренди нерухомого майнв</t>
  </si>
  <si>
    <t>інші витрати (розшифрувати) ціна затверджена рішенням виконкому</t>
  </si>
  <si>
    <t>витрати на оренду  офісу</t>
  </si>
  <si>
    <t>витрати на страхування майна загальногосподарського призначення (страхування транспортних засобів)</t>
  </si>
  <si>
    <t>послуги з оцінки майна (оцінка земельних ділянок)</t>
  </si>
  <si>
    <t>інші витрати (розшифрувати)  (списання необоротних активів)</t>
  </si>
  <si>
    <t>інші доходи від операційної діяльності (цільове фінансування)</t>
  </si>
  <si>
    <t>41/1</t>
  </si>
  <si>
    <t>Інші надходження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</si>
  <si>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 (висвітлення діяльності у ЗМІ)</t>
    </r>
  </si>
  <si>
    <t>Директор_____________________</t>
  </si>
  <si>
    <t>В.М.Галущак</t>
  </si>
  <si>
    <t>інші цілі (розшифрувати) (придбання матеріалів)</t>
  </si>
  <si>
    <t>Прогнозні показники поточного року, 2020р.</t>
  </si>
  <si>
    <t>Факт минулого року, 2019р.</t>
  </si>
  <si>
    <t>План поточного року, 2020р.</t>
  </si>
  <si>
    <t xml:space="preserve">Плановий рік, 2020р.  усього </t>
  </si>
  <si>
    <t>інші доходи (дохід від отриманої деревини підчас зрізки дерев)</t>
  </si>
  <si>
    <t>дохід від безоплатно одержаних активів (згідно рішення сесії)</t>
  </si>
  <si>
    <t>інші операційні витрати (витрати відповідно до цільового фінансування)</t>
  </si>
  <si>
    <t>податок здоходів фізичних осіб</t>
  </si>
  <si>
    <t>Київська обл., м.Буча, вул.Сілезька, 3/23 тел.(04597)48-355</t>
  </si>
  <si>
    <t>відрахування частини прибутку, яка підлягає зарахуванню до загального фонду міського бюджету</t>
  </si>
  <si>
    <t>інші цілі (розшифрувати) (покриття збитків минулих років)</t>
  </si>
  <si>
    <t xml:space="preserve"> на 2022 рік</t>
  </si>
  <si>
    <t>Факт минулого року, 2020р.</t>
  </si>
  <si>
    <t>План поточного року, 2021р.</t>
  </si>
  <si>
    <t>Прогнозні показники поточного року, 2021р.</t>
  </si>
  <si>
    <t xml:space="preserve">Плановий рік, 2022р.  усього </t>
  </si>
  <si>
    <t>витрати на оренду  офісу (відшкодування комунальних послуг)</t>
  </si>
  <si>
    <t>Інші адміністративні витрати (висвітлення діяльності у смі, хімчистка одягу,сертифікація ключів,оновлення бухгалтерських програм, послуги з охорони, послуги оренди біотуалетів)</t>
  </si>
  <si>
    <t>послуги з оренди нерухомого майна</t>
  </si>
  <si>
    <t>Капітальні інвестиції (необоротні активи), у тому числі</t>
  </si>
  <si>
    <t xml:space="preserve">до рішенням Виконавчого комітету Бучанської міської ради </t>
  </si>
  <si>
    <t>від " 21" грудня  2021 р. № 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</si>
</sst>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-* #,##0_р_._-;\-* #,##0_р_._-;_-* &quot;-&quot;_р_._-;_-@_-"/>
    <numFmt numFmtId="166" formatCode="0.0"/>
    <numFmt numFmtId="167" formatCode="0.00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2" fillId="0" borderId="0" xfId="0" applyFont="1"/>
    <xf numFmtId="0" fontId="3" fillId="0" borderId="0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Fill="1"/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2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2" fontId="10" fillId="0" borderId="1" xfId="0" applyNumberFormat="1" applyFont="1" applyFill="1" applyBorder="1" applyAlignment="1">
      <alignment horizontal="right" vertical="center" wrapText="1"/>
    </xf>
    <xf numFmtId="2" fontId="10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166" fontId="8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66" fontId="2" fillId="0" borderId="1" xfId="0" applyNumberFormat="1" applyFont="1" applyFill="1" applyBorder="1"/>
    <xf numFmtId="167" fontId="8" fillId="0" borderId="1" xfId="0" applyNumberFormat="1" applyFont="1" applyFill="1" applyBorder="1"/>
    <xf numFmtId="166" fontId="2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horizontal="right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1"/>
  <sheetViews>
    <sheetView tabSelected="1" topLeftCell="A124" workbookViewId="0">
      <selection activeCell="I17" sqref="I17"/>
    </sheetView>
  </sheetViews>
  <sheetFormatPr defaultColWidth="9.109375" defaultRowHeight="14.4" x14ac:dyDescent="0.3"/>
  <cols>
    <col min="1" max="1" width="29.6640625" style="47" customWidth="1"/>
    <col min="2" max="2" width="33.5546875" style="47" customWidth="1"/>
    <col min="3" max="3" width="12" style="47" customWidth="1"/>
    <col min="4" max="4" width="14.6640625" style="47" customWidth="1"/>
    <col min="5" max="5" width="13" style="47" customWidth="1"/>
    <col min="6" max="6" width="11.88671875" style="47" customWidth="1"/>
    <col min="7" max="7" width="15" style="47" customWidth="1"/>
    <col min="8" max="8" width="11.44140625" style="47" customWidth="1"/>
    <col min="9" max="10" width="12.109375" style="47" customWidth="1"/>
    <col min="11" max="11" width="10.6640625" style="47" bestFit="1" customWidth="1"/>
    <col min="12" max="16384" width="9.109375" style="47"/>
  </cols>
  <sheetData>
    <row r="1" spans="1:12" ht="15.6" x14ac:dyDescent="0.3">
      <c r="A1" s="46"/>
      <c r="B1" s="46"/>
      <c r="C1" s="46"/>
      <c r="D1" s="46"/>
      <c r="E1" s="46"/>
      <c r="F1" s="101" t="s">
        <v>0</v>
      </c>
      <c r="G1" s="101"/>
      <c r="H1" s="101"/>
      <c r="I1" s="101"/>
      <c r="J1" s="101"/>
      <c r="K1" s="101"/>
      <c r="L1" s="46"/>
    </row>
    <row r="2" spans="1:12" ht="15.6" hidden="1" x14ac:dyDescent="0.3">
      <c r="A2" s="46"/>
      <c r="B2" s="46"/>
      <c r="C2" s="46"/>
      <c r="D2" s="46"/>
      <c r="E2" s="46"/>
      <c r="F2" s="102" t="s">
        <v>1</v>
      </c>
      <c r="G2" s="102"/>
      <c r="H2" s="102"/>
      <c r="I2" s="102"/>
      <c r="J2" s="102"/>
      <c r="K2" s="102"/>
      <c r="L2" s="46"/>
    </row>
    <row r="3" spans="1:12" ht="15.6" hidden="1" x14ac:dyDescent="0.3">
      <c r="A3" s="46"/>
      <c r="B3" s="46"/>
      <c r="C3" s="46"/>
      <c r="D3" s="46"/>
      <c r="E3" s="46"/>
      <c r="F3" s="102" t="s">
        <v>2</v>
      </c>
      <c r="G3" s="102"/>
      <c r="H3" s="102"/>
      <c r="I3" s="102"/>
      <c r="J3" s="102"/>
      <c r="K3" s="102"/>
      <c r="L3" s="46"/>
    </row>
    <row r="4" spans="1:12" ht="15.6" hidden="1" x14ac:dyDescent="0.3">
      <c r="A4" s="46"/>
      <c r="B4" s="103"/>
      <c r="C4" s="103"/>
      <c r="D4" s="103"/>
      <c r="E4" s="103"/>
      <c r="F4" s="104" t="s">
        <v>3</v>
      </c>
      <c r="G4" s="104"/>
      <c r="H4" s="104"/>
      <c r="I4" s="104"/>
      <c r="J4" s="104"/>
      <c r="K4" s="104"/>
      <c r="L4" s="46"/>
    </row>
    <row r="5" spans="1:12" ht="18" hidden="1" x14ac:dyDescent="0.3">
      <c r="B5" s="1"/>
      <c r="C5" s="1"/>
      <c r="D5" s="1"/>
      <c r="E5" s="1"/>
      <c r="F5" s="96"/>
      <c r="G5" s="96"/>
      <c r="H5" s="96"/>
      <c r="I5" s="96"/>
      <c r="J5" s="96"/>
      <c r="K5" s="96"/>
    </row>
    <row r="6" spans="1:12" ht="18" hidden="1" x14ac:dyDescent="0.3">
      <c r="B6" s="1"/>
      <c r="C6" s="1"/>
      <c r="D6" s="1"/>
      <c r="E6" s="1"/>
      <c r="F6" s="105" t="s">
        <v>4</v>
      </c>
      <c r="G6" s="105"/>
      <c r="H6" s="105"/>
      <c r="I6" s="105"/>
      <c r="J6" s="96"/>
      <c r="K6" s="96"/>
    </row>
    <row r="7" spans="1:12" ht="18" x14ac:dyDescent="0.3">
      <c r="B7" s="1"/>
      <c r="C7" s="1"/>
      <c r="D7" s="1"/>
      <c r="E7" s="1"/>
      <c r="F7" s="98" t="s">
        <v>450</v>
      </c>
      <c r="G7" s="98"/>
      <c r="H7" s="98"/>
      <c r="I7" s="98"/>
      <c r="J7" s="98"/>
      <c r="K7" s="98"/>
    </row>
    <row r="8" spans="1:12" ht="18" hidden="1" x14ac:dyDescent="0.3">
      <c r="B8" s="1"/>
      <c r="C8" s="1"/>
      <c r="D8" s="1"/>
      <c r="E8" s="1"/>
      <c r="F8" s="96"/>
      <c r="G8" s="96"/>
      <c r="H8" s="96"/>
      <c r="I8" s="96"/>
      <c r="J8" s="96"/>
      <c r="K8" s="96"/>
    </row>
    <row r="9" spans="1:12" ht="18" customHeight="1" x14ac:dyDescent="0.3">
      <c r="B9" s="1"/>
      <c r="C9" s="1"/>
      <c r="D9" s="1"/>
      <c r="E9" s="1"/>
      <c r="F9" s="98" t="s">
        <v>451</v>
      </c>
      <c r="G9" s="98"/>
      <c r="H9" s="98"/>
      <c r="I9" s="98"/>
      <c r="J9" s="98"/>
      <c r="K9" s="98"/>
    </row>
    <row r="10" spans="1:12" ht="18" hidden="1" x14ac:dyDescent="0.3">
      <c r="B10" s="1"/>
      <c r="C10" s="1"/>
      <c r="D10" s="1"/>
      <c r="E10" s="1"/>
      <c r="F10" s="2"/>
      <c r="G10" s="2"/>
      <c r="H10" s="2"/>
      <c r="I10" s="2"/>
      <c r="J10" s="2"/>
      <c r="K10" s="2"/>
    </row>
    <row r="11" spans="1:12" ht="31.2" x14ac:dyDescent="0.3">
      <c r="A11" s="93" t="s">
        <v>7</v>
      </c>
      <c r="B11" s="99" t="s">
        <v>406</v>
      </c>
      <c r="C11" s="99"/>
      <c r="D11" s="99"/>
      <c r="E11" s="99"/>
      <c r="F11" s="93" t="s">
        <v>8</v>
      </c>
      <c r="G11" s="100">
        <v>41141202</v>
      </c>
      <c r="H11" s="100"/>
      <c r="I11" s="100"/>
      <c r="J11" s="100"/>
      <c r="K11" s="100"/>
    </row>
    <row r="12" spans="1:12" ht="31.2" x14ac:dyDescent="0.3">
      <c r="A12" s="93" t="s">
        <v>9</v>
      </c>
      <c r="B12" s="99" t="s">
        <v>407</v>
      </c>
      <c r="C12" s="99"/>
      <c r="D12" s="99"/>
      <c r="E12" s="99"/>
      <c r="F12" s="93" t="s">
        <v>10</v>
      </c>
      <c r="G12" s="100">
        <v>3210800000</v>
      </c>
      <c r="H12" s="100"/>
      <c r="I12" s="100"/>
      <c r="J12" s="100"/>
      <c r="K12" s="100"/>
    </row>
    <row r="13" spans="1:12" ht="31.2" x14ac:dyDescent="0.3">
      <c r="A13" s="93" t="s">
        <v>11</v>
      </c>
      <c r="B13" s="100" t="s">
        <v>408</v>
      </c>
      <c r="C13" s="100"/>
      <c r="D13" s="100"/>
      <c r="E13" s="100"/>
      <c r="F13" s="93" t="s">
        <v>12</v>
      </c>
      <c r="G13" s="100">
        <v>150</v>
      </c>
      <c r="H13" s="100"/>
      <c r="I13" s="100"/>
      <c r="J13" s="100"/>
      <c r="K13" s="100"/>
    </row>
    <row r="14" spans="1:12" ht="15.6" x14ac:dyDescent="0.3">
      <c r="A14" s="93" t="s">
        <v>13</v>
      </c>
      <c r="B14" s="100" t="s">
        <v>409</v>
      </c>
      <c r="C14" s="100"/>
      <c r="D14" s="100"/>
      <c r="E14" s="100"/>
      <c r="F14" s="93" t="s">
        <v>14</v>
      </c>
      <c r="G14" s="100" t="s">
        <v>411</v>
      </c>
      <c r="H14" s="100"/>
      <c r="I14" s="100"/>
      <c r="J14" s="100"/>
      <c r="K14" s="100"/>
    </row>
    <row r="15" spans="1:12" ht="31.2" x14ac:dyDescent="0.3">
      <c r="A15" s="93" t="s">
        <v>15</v>
      </c>
      <c r="B15" s="100"/>
      <c r="C15" s="100"/>
      <c r="D15" s="100"/>
      <c r="E15" s="100"/>
      <c r="F15" s="49"/>
      <c r="G15" s="49"/>
      <c r="H15" s="49"/>
      <c r="I15" s="49"/>
      <c r="J15" s="49"/>
      <c r="K15" s="46"/>
    </row>
    <row r="16" spans="1:12" ht="31.2" x14ac:dyDescent="0.3">
      <c r="A16" s="93" t="s">
        <v>16</v>
      </c>
      <c r="B16" s="100">
        <v>90</v>
      </c>
      <c r="C16" s="100"/>
      <c r="D16" s="100"/>
      <c r="E16" s="100"/>
      <c r="F16" s="49"/>
      <c r="G16" s="49"/>
      <c r="H16" s="49"/>
      <c r="I16" s="49"/>
      <c r="J16" s="49"/>
      <c r="K16" s="46"/>
    </row>
    <row r="17" spans="1:11" ht="31.2" x14ac:dyDescent="0.3">
      <c r="A17" s="93" t="s">
        <v>17</v>
      </c>
      <c r="B17" s="100" t="s">
        <v>410</v>
      </c>
      <c r="C17" s="100"/>
      <c r="D17" s="100"/>
      <c r="E17" s="100"/>
      <c r="F17" s="49"/>
      <c r="G17" s="49"/>
      <c r="H17" s="49"/>
      <c r="I17" s="49"/>
      <c r="J17" s="49"/>
      <c r="K17" s="46"/>
    </row>
    <row r="18" spans="1:11" ht="15.6" x14ac:dyDescent="0.3">
      <c r="A18" s="93" t="s">
        <v>18</v>
      </c>
      <c r="B18" s="100" t="s">
        <v>438</v>
      </c>
      <c r="C18" s="100"/>
      <c r="D18" s="100"/>
      <c r="E18" s="100"/>
      <c r="F18" s="49"/>
      <c r="G18" s="49"/>
      <c r="H18" s="49"/>
      <c r="I18" s="49"/>
      <c r="J18" s="49"/>
      <c r="K18" s="46"/>
    </row>
    <row r="19" spans="1:11" ht="15.6" x14ac:dyDescent="0.3">
      <c r="A19" s="50"/>
      <c r="B19" s="50"/>
      <c r="C19" s="50"/>
      <c r="D19" s="50"/>
      <c r="E19" s="50"/>
      <c r="F19" s="49"/>
      <c r="G19" s="49"/>
      <c r="H19" s="49"/>
      <c r="I19" s="49"/>
      <c r="J19" s="49"/>
      <c r="K19" s="46"/>
    </row>
    <row r="20" spans="1:11" x14ac:dyDescent="0.3">
      <c r="A20" s="106" t="s">
        <v>19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x14ac:dyDescent="0.3">
      <c r="A21" s="106" t="s">
        <v>441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ht="15.6" x14ac:dyDescent="0.3">
      <c r="A22" s="107" t="s">
        <v>20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1" x14ac:dyDescent="0.3">
      <c r="A23" s="108"/>
      <c r="B23" s="108"/>
      <c r="C23" s="108"/>
      <c r="D23" s="108"/>
      <c r="E23" s="108"/>
      <c r="F23" s="108"/>
      <c r="G23" s="108"/>
      <c r="H23" s="108"/>
      <c r="I23" s="108"/>
      <c r="J23" s="51"/>
    </row>
    <row r="24" spans="1:11" x14ac:dyDescent="0.3">
      <c r="A24" s="115"/>
      <c r="B24" s="115"/>
      <c r="C24" s="115" t="s">
        <v>21</v>
      </c>
      <c r="D24" s="115" t="s">
        <v>442</v>
      </c>
      <c r="E24" s="115" t="s">
        <v>443</v>
      </c>
      <c r="F24" s="115" t="s">
        <v>444</v>
      </c>
      <c r="G24" s="115" t="s">
        <v>445</v>
      </c>
      <c r="H24" s="111" t="s">
        <v>22</v>
      </c>
      <c r="I24" s="111"/>
      <c r="J24" s="111"/>
      <c r="K24" s="111"/>
    </row>
    <row r="25" spans="1:11" ht="45.75" customHeight="1" x14ac:dyDescent="0.3">
      <c r="A25" s="115"/>
      <c r="B25" s="115"/>
      <c r="C25" s="115"/>
      <c r="D25" s="115"/>
      <c r="E25" s="115"/>
      <c r="F25" s="115"/>
      <c r="G25" s="115"/>
      <c r="H25" s="95">
        <v>1</v>
      </c>
      <c r="I25" s="95">
        <v>2</v>
      </c>
      <c r="J25" s="95">
        <v>3</v>
      </c>
      <c r="K25" s="95">
        <v>4</v>
      </c>
    </row>
    <row r="26" spans="1:11" ht="15.6" x14ac:dyDescent="0.3">
      <c r="A26" s="112" t="s">
        <v>23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3"/>
    </row>
    <row r="27" spans="1:11" ht="32.25" customHeight="1" x14ac:dyDescent="0.3">
      <c r="A27" s="109" t="s">
        <v>24</v>
      </c>
      <c r="B27" s="109"/>
      <c r="C27" s="93">
        <v>1</v>
      </c>
      <c r="D27" s="82">
        <v>283.60000000000002</v>
      </c>
      <c r="E27" s="82">
        <v>293.2</v>
      </c>
      <c r="F27" s="82">
        <v>286.5</v>
      </c>
      <c r="G27" s="82">
        <f>H27+I27+J27+K27</f>
        <v>303.15999999999997</v>
      </c>
      <c r="H27" s="82">
        <v>54.2</v>
      </c>
      <c r="I27" s="82">
        <v>102</v>
      </c>
      <c r="J27" s="82">
        <v>93.2</v>
      </c>
      <c r="K27" s="80">
        <v>53.76</v>
      </c>
    </row>
    <row r="28" spans="1:11" ht="15.6" x14ac:dyDescent="0.3">
      <c r="A28" s="114" t="s">
        <v>25</v>
      </c>
      <c r="B28" s="114"/>
      <c r="C28" s="92">
        <v>2</v>
      </c>
      <c r="D28" s="82">
        <v>47.3</v>
      </c>
      <c r="E28" s="82">
        <v>48.9</v>
      </c>
      <c r="F28" s="82">
        <f>ROUND(F27/6,2)</f>
        <v>47.75</v>
      </c>
      <c r="G28" s="82">
        <f>H28+I28+J28+K28</f>
        <v>50.5</v>
      </c>
      <c r="H28" s="82">
        <f>ROUND(H27/6,1)</f>
        <v>9</v>
      </c>
      <c r="I28" s="82">
        <f t="shared" ref="I28:K28" si="0">ROUND(I27/6,1)</f>
        <v>17</v>
      </c>
      <c r="J28" s="82">
        <f t="shared" si="0"/>
        <v>15.5</v>
      </c>
      <c r="K28" s="82">
        <f t="shared" si="0"/>
        <v>9</v>
      </c>
    </row>
    <row r="29" spans="1:11" ht="15.6" x14ac:dyDescent="0.3">
      <c r="A29" s="114" t="s">
        <v>26</v>
      </c>
      <c r="B29" s="114"/>
      <c r="C29" s="92">
        <v>3</v>
      </c>
      <c r="D29" s="82"/>
      <c r="E29" s="82"/>
      <c r="F29" s="82"/>
      <c r="G29" s="82"/>
      <c r="H29" s="82"/>
      <c r="I29" s="82"/>
      <c r="J29" s="82"/>
      <c r="K29" s="80"/>
    </row>
    <row r="30" spans="1:11" ht="15.6" x14ac:dyDescent="0.3">
      <c r="A30" s="114" t="s">
        <v>27</v>
      </c>
      <c r="B30" s="114"/>
      <c r="C30" s="92">
        <v>4</v>
      </c>
      <c r="D30" s="82"/>
      <c r="E30" s="82"/>
      <c r="F30" s="82"/>
      <c r="G30" s="82"/>
      <c r="H30" s="82"/>
      <c r="I30" s="82"/>
      <c r="J30" s="82"/>
      <c r="K30" s="80"/>
    </row>
    <row r="31" spans="1:11" ht="15.6" x14ac:dyDescent="0.3">
      <c r="A31" s="109" t="s">
        <v>28</v>
      </c>
      <c r="B31" s="109"/>
      <c r="C31" s="93">
        <v>5</v>
      </c>
      <c r="D31" s="83">
        <f>D27-D28-D29-D30</f>
        <v>236.3</v>
      </c>
      <c r="E31" s="83">
        <f>E27-E28-E29-E30</f>
        <v>244.29999999999998</v>
      </c>
      <c r="F31" s="83">
        <f>F27-F28-F29-F30</f>
        <v>238.75</v>
      </c>
      <c r="G31" s="83">
        <f t="shared" ref="G31" si="1">G27-G28-G29-G30</f>
        <v>252.65999999999997</v>
      </c>
      <c r="H31" s="83">
        <f>ROUND(H27-H28-H29-H30,1)</f>
        <v>45.2</v>
      </c>
      <c r="I31" s="83">
        <f t="shared" ref="I31:K31" si="2">ROUND(I27-I28-I29-I30,1)</f>
        <v>85</v>
      </c>
      <c r="J31" s="83">
        <f t="shared" si="2"/>
        <v>77.7</v>
      </c>
      <c r="K31" s="83">
        <f t="shared" si="2"/>
        <v>44.8</v>
      </c>
    </row>
    <row r="32" spans="1:11" ht="16.2" x14ac:dyDescent="0.3">
      <c r="A32" s="110" t="s">
        <v>413</v>
      </c>
      <c r="B32" s="110"/>
      <c r="C32" s="54" t="s">
        <v>29</v>
      </c>
      <c r="D32" s="82">
        <v>103.7</v>
      </c>
      <c r="E32" s="82">
        <v>94.9</v>
      </c>
      <c r="F32" s="82">
        <v>88.25</v>
      </c>
      <c r="G32" s="82">
        <f>H32+I32+J32+K32</f>
        <v>97.9</v>
      </c>
      <c r="H32" s="82">
        <v>27.7</v>
      </c>
      <c r="I32" s="82">
        <v>26.3</v>
      </c>
      <c r="J32" s="82">
        <v>23.5</v>
      </c>
      <c r="K32" s="80">
        <v>20.399999999999999</v>
      </c>
    </row>
    <row r="33" spans="1:11" ht="16.2" x14ac:dyDescent="0.3">
      <c r="A33" s="110" t="s">
        <v>414</v>
      </c>
      <c r="B33" s="110"/>
      <c r="C33" s="54" t="s">
        <v>30</v>
      </c>
      <c r="D33" s="82">
        <v>11.2</v>
      </c>
      <c r="E33" s="82">
        <v>8.6</v>
      </c>
      <c r="F33" s="82">
        <v>13</v>
      </c>
      <c r="G33" s="82">
        <f t="shared" ref="G33:G35" si="3">H33+I33+J33+K33</f>
        <v>9.6</v>
      </c>
      <c r="H33" s="82">
        <v>2.1</v>
      </c>
      <c r="I33" s="82">
        <v>3</v>
      </c>
      <c r="J33" s="82">
        <v>2.5</v>
      </c>
      <c r="K33" s="80">
        <v>2</v>
      </c>
    </row>
    <row r="34" spans="1:11" ht="16.2" x14ac:dyDescent="0.3">
      <c r="A34" s="110" t="s">
        <v>415</v>
      </c>
      <c r="B34" s="110"/>
      <c r="C34" s="54" t="s">
        <v>31</v>
      </c>
      <c r="D34" s="82">
        <v>92</v>
      </c>
      <c r="E34" s="82">
        <v>68.8</v>
      </c>
      <c r="F34" s="82">
        <v>73.5</v>
      </c>
      <c r="G34" s="82">
        <f t="shared" si="3"/>
        <v>68.899999999999991</v>
      </c>
      <c r="H34" s="82">
        <v>7.5</v>
      </c>
      <c r="I34" s="82">
        <v>23.7</v>
      </c>
      <c r="J34" s="82">
        <v>26.4</v>
      </c>
      <c r="K34" s="80">
        <v>11.3</v>
      </c>
    </row>
    <row r="35" spans="1:11" ht="16.2" x14ac:dyDescent="0.3">
      <c r="A35" s="110" t="s">
        <v>416</v>
      </c>
      <c r="B35" s="110"/>
      <c r="C35" s="54" t="s">
        <v>32</v>
      </c>
      <c r="D35" s="82">
        <v>29.4</v>
      </c>
      <c r="E35" s="82">
        <v>71.900000000000006</v>
      </c>
      <c r="F35" s="82">
        <v>64</v>
      </c>
      <c r="G35" s="82">
        <f t="shared" si="3"/>
        <v>76.3</v>
      </c>
      <c r="H35" s="82">
        <v>7.9</v>
      </c>
      <c r="I35" s="82">
        <v>32</v>
      </c>
      <c r="J35" s="82">
        <v>25.3</v>
      </c>
      <c r="K35" s="80">
        <v>11.1</v>
      </c>
    </row>
    <row r="36" spans="1:11" ht="15.75" customHeight="1" x14ac:dyDescent="0.3">
      <c r="A36" s="110" t="s">
        <v>448</v>
      </c>
      <c r="B36" s="110"/>
      <c r="C36" s="54" t="s">
        <v>33</v>
      </c>
      <c r="D36" s="82"/>
      <c r="E36" s="82"/>
      <c r="F36" s="82"/>
      <c r="G36" s="82"/>
      <c r="H36" s="82"/>
      <c r="I36" s="82"/>
      <c r="J36" s="82"/>
      <c r="K36" s="80"/>
    </row>
    <row r="37" spans="1:11" ht="32.25" customHeight="1" x14ac:dyDescent="0.3">
      <c r="A37" s="109" t="s">
        <v>34</v>
      </c>
      <c r="B37" s="109"/>
      <c r="C37" s="93">
        <v>6</v>
      </c>
      <c r="D37" s="83">
        <f>SUM(D38:D46)</f>
        <v>107.9</v>
      </c>
      <c r="E37" s="83">
        <f t="shared" ref="E37:J37" si="4">SUM(E38:E46)</f>
        <v>94.9</v>
      </c>
      <c r="F37" s="83">
        <f t="shared" si="4"/>
        <v>88.25</v>
      </c>
      <c r="G37" s="83">
        <f t="shared" si="4"/>
        <v>97.9</v>
      </c>
      <c r="H37" s="83">
        <f t="shared" si="4"/>
        <v>27.7</v>
      </c>
      <c r="I37" s="83">
        <f t="shared" si="4"/>
        <v>26.3</v>
      </c>
      <c r="J37" s="83">
        <f t="shared" si="4"/>
        <v>23.5</v>
      </c>
      <c r="K37" s="83">
        <f>SUM(K38:K46)</f>
        <v>20.399999999999999</v>
      </c>
    </row>
    <row r="38" spans="1:11" ht="15.6" x14ac:dyDescent="0.3">
      <c r="A38" s="114" t="s">
        <v>35</v>
      </c>
      <c r="B38" s="114"/>
      <c r="C38" s="54" t="s">
        <v>36</v>
      </c>
      <c r="D38" s="82"/>
      <c r="E38" s="82"/>
      <c r="F38" s="82"/>
      <c r="G38" s="82"/>
      <c r="H38" s="82"/>
      <c r="I38" s="82"/>
      <c r="J38" s="82"/>
      <c r="K38" s="80"/>
    </row>
    <row r="39" spans="1:11" ht="15.6" x14ac:dyDescent="0.3">
      <c r="A39" s="114" t="s">
        <v>37</v>
      </c>
      <c r="B39" s="114"/>
      <c r="C39" s="54" t="s">
        <v>38</v>
      </c>
      <c r="D39" s="82"/>
      <c r="E39" s="82"/>
      <c r="F39" s="82"/>
      <c r="G39" s="82"/>
      <c r="H39" s="82"/>
      <c r="I39" s="82"/>
      <c r="J39" s="82"/>
      <c r="K39" s="80"/>
    </row>
    <row r="40" spans="1:11" ht="15.6" x14ac:dyDescent="0.3">
      <c r="A40" s="114" t="s">
        <v>39</v>
      </c>
      <c r="B40" s="114"/>
      <c r="C40" s="54" t="s">
        <v>40</v>
      </c>
      <c r="D40" s="82"/>
      <c r="E40" s="82"/>
      <c r="F40" s="82"/>
      <c r="G40" s="82"/>
      <c r="H40" s="82"/>
      <c r="I40" s="82"/>
      <c r="J40" s="82"/>
      <c r="K40" s="80"/>
    </row>
    <row r="41" spans="1:11" ht="15.6" x14ac:dyDescent="0.3">
      <c r="A41" s="114" t="s">
        <v>41</v>
      </c>
      <c r="B41" s="114"/>
      <c r="C41" s="54" t="s">
        <v>42</v>
      </c>
      <c r="D41" s="82"/>
      <c r="E41" s="82"/>
      <c r="F41" s="82"/>
      <c r="G41" s="82"/>
      <c r="H41" s="82"/>
      <c r="I41" s="82"/>
      <c r="J41" s="82"/>
      <c r="K41" s="80"/>
    </row>
    <row r="42" spans="1:11" ht="15.6" x14ac:dyDescent="0.3">
      <c r="A42" s="114" t="s">
        <v>43</v>
      </c>
      <c r="B42" s="114"/>
      <c r="C42" s="54" t="s">
        <v>44</v>
      </c>
      <c r="D42" s="82"/>
      <c r="E42" s="82"/>
      <c r="F42" s="82"/>
      <c r="G42" s="82"/>
      <c r="H42" s="82"/>
      <c r="I42" s="82"/>
      <c r="J42" s="82"/>
      <c r="K42" s="80"/>
    </row>
    <row r="43" spans="1:11" ht="15.6" x14ac:dyDescent="0.3">
      <c r="A43" s="114" t="s">
        <v>45</v>
      </c>
      <c r="B43" s="114"/>
      <c r="C43" s="54" t="s">
        <v>46</v>
      </c>
      <c r="D43" s="82"/>
      <c r="E43" s="82"/>
      <c r="F43" s="82"/>
      <c r="G43" s="82"/>
      <c r="H43" s="82"/>
      <c r="I43" s="82"/>
      <c r="J43" s="82"/>
      <c r="K43" s="80"/>
    </row>
    <row r="44" spans="1:11" ht="15.6" x14ac:dyDescent="0.3">
      <c r="A44" s="114" t="s">
        <v>47</v>
      </c>
      <c r="B44" s="114"/>
      <c r="C44" s="54" t="s">
        <v>48</v>
      </c>
      <c r="D44" s="82"/>
      <c r="E44" s="82"/>
      <c r="F44" s="82"/>
      <c r="G44" s="82"/>
      <c r="H44" s="82"/>
      <c r="I44" s="82"/>
      <c r="J44" s="82"/>
      <c r="K44" s="80"/>
    </row>
    <row r="45" spans="1:11" ht="15.6" x14ac:dyDescent="0.3">
      <c r="A45" s="114" t="s">
        <v>49</v>
      </c>
      <c r="B45" s="114"/>
      <c r="C45" s="54" t="s">
        <v>50</v>
      </c>
      <c r="D45" s="82"/>
      <c r="E45" s="82"/>
      <c r="F45" s="82"/>
      <c r="G45" s="82"/>
      <c r="H45" s="82"/>
      <c r="I45" s="82"/>
      <c r="J45" s="82"/>
      <c r="K45" s="80"/>
    </row>
    <row r="46" spans="1:11" ht="33" customHeight="1" x14ac:dyDescent="0.3">
      <c r="A46" s="114" t="s">
        <v>418</v>
      </c>
      <c r="B46" s="114"/>
      <c r="C46" s="54" t="s">
        <v>52</v>
      </c>
      <c r="D46" s="82">
        <v>107.9</v>
      </c>
      <c r="E46" s="82">
        <v>94.9</v>
      </c>
      <c r="F46" s="82">
        <f t="shared" ref="F46:K46" si="5">F32</f>
        <v>88.25</v>
      </c>
      <c r="G46" s="82">
        <f t="shared" si="5"/>
        <v>97.9</v>
      </c>
      <c r="H46" s="82">
        <f t="shared" si="5"/>
        <v>27.7</v>
      </c>
      <c r="I46" s="82">
        <f t="shared" si="5"/>
        <v>26.3</v>
      </c>
      <c r="J46" s="82">
        <f t="shared" si="5"/>
        <v>23.5</v>
      </c>
      <c r="K46" s="82">
        <f t="shared" si="5"/>
        <v>20.399999999999999</v>
      </c>
    </row>
    <row r="47" spans="1:11" ht="15.6" x14ac:dyDescent="0.3">
      <c r="A47" s="109" t="s">
        <v>53</v>
      </c>
      <c r="B47" s="109"/>
      <c r="C47" s="93">
        <v>7</v>
      </c>
      <c r="D47" s="83">
        <f>D31-D37</f>
        <v>128.4</v>
      </c>
      <c r="E47" s="83">
        <f>E31-E37</f>
        <v>149.39999999999998</v>
      </c>
      <c r="F47" s="83">
        <f t="shared" ref="F47:K47" si="6">F31-F37</f>
        <v>150.5</v>
      </c>
      <c r="G47" s="83">
        <f t="shared" si="6"/>
        <v>154.75999999999996</v>
      </c>
      <c r="H47" s="83">
        <f t="shared" si="6"/>
        <v>17.500000000000004</v>
      </c>
      <c r="I47" s="83">
        <f t="shared" si="6"/>
        <v>58.7</v>
      </c>
      <c r="J47" s="83">
        <f t="shared" si="6"/>
        <v>54.2</v>
      </c>
      <c r="K47" s="83">
        <f t="shared" si="6"/>
        <v>24.4</v>
      </c>
    </row>
    <row r="48" spans="1:11" ht="23.25" customHeight="1" x14ac:dyDescent="0.3">
      <c r="A48" s="109" t="s">
        <v>54</v>
      </c>
      <c r="B48" s="109"/>
      <c r="C48" s="93">
        <v>8</v>
      </c>
      <c r="D48" s="83">
        <f>SUM(D50:D78)</f>
        <v>17834.499999999996</v>
      </c>
      <c r="E48" s="83">
        <f>SUM(E50:E78)</f>
        <v>20799.099999999999</v>
      </c>
      <c r="F48" s="83">
        <f t="shared" ref="F48:K48" si="7">SUM(F50:F78)</f>
        <v>26420.1</v>
      </c>
      <c r="G48" s="83">
        <f t="shared" si="7"/>
        <v>24131.279999999999</v>
      </c>
      <c r="H48" s="83">
        <f t="shared" si="7"/>
        <v>5602.579999999999</v>
      </c>
      <c r="I48" s="83">
        <f t="shared" si="7"/>
        <v>5999.11</v>
      </c>
      <c r="J48" s="83">
        <f t="shared" si="7"/>
        <v>6361.579999999999</v>
      </c>
      <c r="K48" s="83">
        <f t="shared" si="7"/>
        <v>6168.01</v>
      </c>
    </row>
    <row r="49" spans="1:11" ht="15.6" x14ac:dyDescent="0.3">
      <c r="A49" s="114" t="s">
        <v>55</v>
      </c>
      <c r="B49" s="114"/>
      <c r="C49" s="92"/>
      <c r="D49" s="82"/>
      <c r="E49" s="82"/>
      <c r="F49" s="82"/>
      <c r="G49" s="82"/>
      <c r="H49" s="82"/>
      <c r="I49" s="82"/>
      <c r="J49" s="82"/>
      <c r="K49" s="80"/>
    </row>
    <row r="50" spans="1:11" ht="15.6" x14ac:dyDescent="0.3">
      <c r="A50" s="114" t="s">
        <v>56</v>
      </c>
      <c r="B50" s="114"/>
      <c r="C50" s="54" t="s">
        <v>57</v>
      </c>
      <c r="D50" s="82"/>
      <c r="E50" s="82"/>
      <c r="F50" s="82"/>
      <c r="G50" s="82">
        <f>H50+I50+J50+K50</f>
        <v>0</v>
      </c>
      <c r="H50" s="82"/>
      <c r="I50" s="82"/>
      <c r="J50" s="82"/>
      <c r="K50" s="80"/>
    </row>
    <row r="51" spans="1:11" ht="15.6" x14ac:dyDescent="0.3">
      <c r="A51" s="114" t="s">
        <v>58</v>
      </c>
      <c r="B51" s="114"/>
      <c r="C51" s="54" t="s">
        <v>59</v>
      </c>
      <c r="D51" s="82">
        <v>36</v>
      </c>
      <c r="E51" s="82">
        <v>36</v>
      </c>
      <c r="F51" s="82">
        <v>36</v>
      </c>
      <c r="G51" s="82">
        <f t="shared" ref="G51:G79" si="8">H51+I51+J51+K51</f>
        <v>42</v>
      </c>
      <c r="H51" s="82">
        <v>10.5</v>
      </c>
      <c r="I51" s="82">
        <v>10.5</v>
      </c>
      <c r="J51" s="82">
        <v>10.5</v>
      </c>
      <c r="K51" s="80">
        <v>10.5</v>
      </c>
    </row>
    <row r="52" spans="1:11" ht="15.6" x14ac:dyDescent="0.3">
      <c r="A52" s="114" t="s">
        <v>60</v>
      </c>
      <c r="B52" s="114"/>
      <c r="C52" s="54" t="s">
        <v>61</v>
      </c>
      <c r="D52" s="82"/>
      <c r="E52" s="82"/>
      <c r="F52" s="82"/>
      <c r="G52" s="82">
        <f t="shared" si="8"/>
        <v>0</v>
      </c>
      <c r="H52" s="82"/>
      <c r="I52" s="82"/>
      <c r="J52" s="82"/>
      <c r="K52" s="80"/>
    </row>
    <row r="53" spans="1:11" ht="15.6" x14ac:dyDescent="0.3">
      <c r="A53" s="114" t="s">
        <v>62</v>
      </c>
      <c r="B53" s="114"/>
      <c r="C53" s="54" t="s">
        <v>63</v>
      </c>
      <c r="D53" s="82"/>
      <c r="E53" s="82"/>
      <c r="F53" s="82"/>
      <c r="G53" s="82">
        <f t="shared" si="8"/>
        <v>0</v>
      </c>
      <c r="H53" s="82"/>
      <c r="I53" s="82"/>
      <c r="J53" s="82"/>
      <c r="K53" s="80"/>
    </row>
    <row r="54" spans="1:11" ht="15.6" x14ac:dyDescent="0.3">
      <c r="A54" s="114" t="s">
        <v>446</v>
      </c>
      <c r="B54" s="114"/>
      <c r="C54" s="54" t="s">
        <v>65</v>
      </c>
      <c r="D54" s="82">
        <v>80.400000000000006</v>
      </c>
      <c r="E54" s="82">
        <v>90</v>
      </c>
      <c r="F54" s="82">
        <v>142</v>
      </c>
      <c r="G54" s="82">
        <f t="shared" si="8"/>
        <v>140</v>
      </c>
      <c r="H54" s="82">
        <v>50</v>
      </c>
      <c r="I54" s="82">
        <v>20</v>
      </c>
      <c r="J54" s="82">
        <v>20</v>
      </c>
      <c r="K54" s="80">
        <v>50</v>
      </c>
    </row>
    <row r="55" spans="1:11" ht="15.6" x14ac:dyDescent="0.3">
      <c r="A55" s="114" t="s">
        <v>66</v>
      </c>
      <c r="B55" s="114"/>
      <c r="C55" s="54" t="s">
        <v>67</v>
      </c>
      <c r="D55" s="82"/>
      <c r="E55" s="82"/>
      <c r="F55" s="82"/>
      <c r="G55" s="82">
        <f t="shared" si="8"/>
        <v>0</v>
      </c>
      <c r="H55" s="82"/>
      <c r="I55" s="84"/>
      <c r="J55" s="84"/>
      <c r="K55" s="80"/>
    </row>
    <row r="56" spans="1:11" ht="15.6" x14ac:dyDescent="0.3">
      <c r="A56" s="114" t="s">
        <v>68</v>
      </c>
      <c r="B56" s="114"/>
      <c r="C56" s="54" t="s">
        <v>69</v>
      </c>
      <c r="D56" s="82">
        <v>4.8</v>
      </c>
      <c r="E56" s="82">
        <v>5</v>
      </c>
      <c r="F56" s="82">
        <v>5</v>
      </c>
      <c r="G56" s="82">
        <f t="shared" si="8"/>
        <v>8</v>
      </c>
      <c r="H56" s="85">
        <v>2</v>
      </c>
      <c r="I56" s="85">
        <v>2</v>
      </c>
      <c r="J56" s="85">
        <v>2</v>
      </c>
      <c r="K56" s="86">
        <v>2</v>
      </c>
    </row>
    <row r="57" spans="1:11" ht="15.6" x14ac:dyDescent="0.3">
      <c r="A57" s="114" t="s">
        <v>43</v>
      </c>
      <c r="B57" s="114"/>
      <c r="C57" s="54" t="s">
        <v>70</v>
      </c>
      <c r="D57" s="82">
        <v>7120.8</v>
      </c>
      <c r="E57" s="82">
        <v>12633.6</v>
      </c>
      <c r="F57" s="82">
        <f>F253</f>
        <v>12601.7</v>
      </c>
      <c r="G57" s="82">
        <f t="shared" si="8"/>
        <v>14189.96</v>
      </c>
      <c r="H57" s="85">
        <f>H253</f>
        <v>3517.2</v>
      </c>
      <c r="I57" s="85">
        <f>I249</f>
        <v>3549.6</v>
      </c>
      <c r="J57" s="85">
        <f>J253</f>
        <v>3517.2</v>
      </c>
      <c r="K57" s="86">
        <f>K253</f>
        <v>3605.96</v>
      </c>
    </row>
    <row r="58" spans="1:11" ht="15.6" x14ac:dyDescent="0.3">
      <c r="A58" s="114" t="s">
        <v>45</v>
      </c>
      <c r="B58" s="114"/>
      <c r="C58" s="54" t="s">
        <v>71</v>
      </c>
      <c r="D58" s="82">
        <v>1524.7</v>
      </c>
      <c r="E58" s="82">
        <v>2779.4</v>
      </c>
      <c r="F58" s="82">
        <f>ROUND(F57*0.22,1)</f>
        <v>2772.4</v>
      </c>
      <c r="G58" s="82">
        <f t="shared" si="8"/>
        <v>3121.78</v>
      </c>
      <c r="H58" s="82">
        <f>ROUND(H57*0.22,2)</f>
        <v>773.78</v>
      </c>
      <c r="I58" s="82">
        <f t="shared" ref="I58:K58" si="9">ROUND(I57*0.22,2)</f>
        <v>780.91</v>
      </c>
      <c r="J58" s="82">
        <f t="shared" si="9"/>
        <v>773.78</v>
      </c>
      <c r="K58" s="82">
        <f t="shared" si="9"/>
        <v>793.31</v>
      </c>
    </row>
    <row r="59" spans="1:11" ht="15.6" x14ac:dyDescent="0.3">
      <c r="A59" s="114" t="s">
        <v>72</v>
      </c>
      <c r="B59" s="114"/>
      <c r="C59" s="54" t="s">
        <v>73</v>
      </c>
      <c r="D59" s="82">
        <v>8681.2999999999993</v>
      </c>
      <c r="E59" s="82">
        <v>4674.5</v>
      </c>
      <c r="F59" s="82">
        <v>10250</v>
      </c>
      <c r="G59" s="82">
        <f t="shared" si="8"/>
        <v>5807.7400000000007</v>
      </c>
      <c r="H59" s="85">
        <v>1034.4000000000001</v>
      </c>
      <c r="I59" s="85">
        <v>1434.4</v>
      </c>
      <c r="J59" s="85">
        <v>1834.4</v>
      </c>
      <c r="K59" s="86">
        <f>1904.54-400</f>
        <v>1504.54</v>
      </c>
    </row>
    <row r="60" spans="1:11" ht="15.6" x14ac:dyDescent="0.3">
      <c r="A60" s="114" t="s">
        <v>74</v>
      </c>
      <c r="B60" s="114"/>
      <c r="C60" s="54" t="s">
        <v>75</v>
      </c>
      <c r="D60" s="82"/>
      <c r="E60" s="82"/>
      <c r="F60" s="82"/>
      <c r="G60" s="82">
        <f t="shared" si="8"/>
        <v>0</v>
      </c>
      <c r="H60" s="82"/>
      <c r="I60" s="84"/>
      <c r="J60" s="84"/>
      <c r="K60" s="80"/>
    </row>
    <row r="61" spans="1:11" ht="33.75" customHeight="1" x14ac:dyDescent="0.3">
      <c r="A61" s="114" t="s">
        <v>420</v>
      </c>
      <c r="B61" s="114"/>
      <c r="C61" s="54" t="s">
        <v>77</v>
      </c>
      <c r="D61" s="82">
        <v>10.1</v>
      </c>
      <c r="E61" s="82">
        <v>8</v>
      </c>
      <c r="F61" s="82">
        <v>20</v>
      </c>
      <c r="G61" s="82">
        <f t="shared" si="8"/>
        <v>26</v>
      </c>
      <c r="H61" s="85">
        <v>6</v>
      </c>
      <c r="I61" s="85">
        <v>6</v>
      </c>
      <c r="J61" s="85">
        <v>8</v>
      </c>
      <c r="K61" s="86">
        <v>6</v>
      </c>
    </row>
    <row r="62" spans="1:11" ht="21.75" customHeight="1" x14ac:dyDescent="0.3">
      <c r="A62" s="114" t="s">
        <v>78</v>
      </c>
      <c r="B62" s="114"/>
      <c r="C62" s="54" t="s">
        <v>79</v>
      </c>
      <c r="D62" s="82"/>
      <c r="E62" s="82"/>
      <c r="F62" s="82"/>
      <c r="G62" s="82">
        <f t="shared" si="8"/>
        <v>0</v>
      </c>
      <c r="H62" s="82"/>
      <c r="I62" s="84"/>
      <c r="J62" s="84"/>
      <c r="K62" s="80"/>
    </row>
    <row r="63" spans="1:11" ht="15.6" x14ac:dyDescent="0.3">
      <c r="A63" s="114" t="s">
        <v>80</v>
      </c>
      <c r="B63" s="114"/>
      <c r="C63" s="54" t="s">
        <v>81</v>
      </c>
      <c r="D63" s="82"/>
      <c r="E63" s="82"/>
      <c r="F63" s="82"/>
      <c r="G63" s="82">
        <f t="shared" si="8"/>
        <v>0</v>
      </c>
      <c r="H63" s="82"/>
      <c r="I63" s="84"/>
      <c r="J63" s="84"/>
      <c r="K63" s="80"/>
    </row>
    <row r="64" spans="1:11" ht="15.6" x14ac:dyDescent="0.3">
      <c r="A64" s="114" t="s">
        <v>421</v>
      </c>
      <c r="B64" s="114"/>
      <c r="C64" s="54" t="s">
        <v>83</v>
      </c>
      <c r="D64" s="82"/>
      <c r="E64" s="82">
        <v>5</v>
      </c>
      <c r="F64" s="82">
        <v>5</v>
      </c>
      <c r="G64" s="82">
        <f t="shared" si="8"/>
        <v>5</v>
      </c>
      <c r="H64" s="82">
        <v>5</v>
      </c>
      <c r="I64" s="85">
        <v>0</v>
      </c>
      <c r="J64" s="85">
        <v>0</v>
      </c>
      <c r="K64" s="86">
        <v>0</v>
      </c>
    </row>
    <row r="65" spans="1:11" ht="15.6" x14ac:dyDescent="0.3">
      <c r="A65" s="114" t="s">
        <v>84</v>
      </c>
      <c r="B65" s="114"/>
      <c r="C65" s="54" t="s">
        <v>85</v>
      </c>
      <c r="D65" s="82"/>
      <c r="E65" s="82"/>
      <c r="F65" s="82"/>
      <c r="G65" s="82">
        <f t="shared" si="8"/>
        <v>0</v>
      </c>
      <c r="H65" s="82"/>
      <c r="I65" s="85"/>
      <c r="J65" s="85"/>
      <c r="K65" s="86"/>
    </row>
    <row r="66" spans="1:11" ht="15.6" x14ac:dyDescent="0.3">
      <c r="A66" s="114" t="s">
        <v>86</v>
      </c>
      <c r="B66" s="114"/>
      <c r="C66" s="54" t="s">
        <v>87</v>
      </c>
      <c r="D66" s="82">
        <v>14.1</v>
      </c>
      <c r="E66" s="82">
        <v>6</v>
      </c>
      <c r="F66" s="82">
        <v>6</v>
      </c>
      <c r="G66" s="82">
        <f t="shared" si="8"/>
        <v>6</v>
      </c>
      <c r="H66" s="82">
        <v>6</v>
      </c>
      <c r="I66" s="85">
        <v>0</v>
      </c>
      <c r="J66" s="85">
        <v>0</v>
      </c>
      <c r="K66" s="86">
        <v>0</v>
      </c>
    </row>
    <row r="67" spans="1:11" ht="15.6" x14ac:dyDescent="0.3">
      <c r="A67" s="114" t="s">
        <v>88</v>
      </c>
      <c r="B67" s="114"/>
      <c r="C67" s="54" t="s">
        <v>89</v>
      </c>
      <c r="D67" s="82"/>
      <c r="E67" s="82"/>
      <c r="F67" s="82"/>
      <c r="G67" s="82">
        <f t="shared" si="8"/>
        <v>0</v>
      </c>
      <c r="H67" s="82"/>
      <c r="I67" s="84"/>
      <c r="J67" s="84"/>
      <c r="K67" s="80"/>
    </row>
    <row r="68" spans="1:11" ht="15.6" x14ac:dyDescent="0.3">
      <c r="A68" s="114" t="s">
        <v>90</v>
      </c>
      <c r="B68" s="114"/>
      <c r="C68" s="54" t="s">
        <v>91</v>
      </c>
      <c r="D68" s="82"/>
      <c r="E68" s="82"/>
      <c r="F68" s="82"/>
      <c r="G68" s="82">
        <f t="shared" si="8"/>
        <v>0</v>
      </c>
      <c r="H68" s="82"/>
      <c r="I68" s="84"/>
      <c r="J68" s="84"/>
      <c r="K68" s="80"/>
    </row>
    <row r="69" spans="1:11" ht="15.6" x14ac:dyDescent="0.3">
      <c r="A69" s="114" t="s">
        <v>37</v>
      </c>
      <c r="B69" s="114"/>
      <c r="C69" s="54" t="s">
        <v>92</v>
      </c>
      <c r="D69" s="82">
        <v>321.60000000000002</v>
      </c>
      <c r="E69" s="82">
        <v>472.5</v>
      </c>
      <c r="F69" s="82">
        <v>472.5</v>
      </c>
      <c r="G69" s="85">
        <f t="shared" si="8"/>
        <v>676.8</v>
      </c>
      <c r="H69" s="85">
        <v>169.2</v>
      </c>
      <c r="I69" s="85">
        <v>169.2</v>
      </c>
      <c r="J69" s="85">
        <v>169.2</v>
      </c>
      <c r="K69" s="86">
        <v>169.2</v>
      </c>
    </row>
    <row r="70" spans="1:11" ht="15.6" x14ac:dyDescent="0.3">
      <c r="A70" s="114" t="s">
        <v>39</v>
      </c>
      <c r="B70" s="114"/>
      <c r="C70" s="54" t="s">
        <v>93</v>
      </c>
      <c r="D70" s="82"/>
      <c r="E70" s="82"/>
      <c r="F70" s="82"/>
      <c r="G70" s="82">
        <f t="shared" si="8"/>
        <v>0</v>
      </c>
      <c r="H70" s="82"/>
      <c r="I70" s="84"/>
      <c r="J70" s="84"/>
      <c r="K70" s="80"/>
    </row>
    <row r="71" spans="1:11" ht="15.6" x14ac:dyDescent="0.3">
      <c r="A71" s="114" t="s">
        <v>41</v>
      </c>
      <c r="B71" s="114"/>
      <c r="C71" s="54" t="s">
        <v>94</v>
      </c>
      <c r="D71" s="82"/>
      <c r="E71" s="82"/>
      <c r="F71" s="82"/>
      <c r="G71" s="82">
        <f t="shared" si="8"/>
        <v>0</v>
      </c>
      <c r="H71" s="82"/>
      <c r="I71" s="84"/>
      <c r="J71" s="84"/>
      <c r="K71" s="80"/>
    </row>
    <row r="72" spans="1:11" ht="15.6" x14ac:dyDescent="0.3">
      <c r="A72" s="114" t="s">
        <v>95</v>
      </c>
      <c r="B72" s="114"/>
      <c r="C72" s="54" t="s">
        <v>96</v>
      </c>
      <c r="D72" s="82"/>
      <c r="E72" s="82"/>
      <c r="F72" s="82"/>
      <c r="G72" s="82">
        <f t="shared" si="8"/>
        <v>0</v>
      </c>
      <c r="H72" s="82"/>
      <c r="I72" s="84"/>
      <c r="J72" s="84"/>
      <c r="K72" s="80"/>
    </row>
    <row r="73" spans="1:11" ht="15.6" x14ac:dyDescent="0.3">
      <c r="A73" s="114" t="s">
        <v>97</v>
      </c>
      <c r="B73" s="114"/>
      <c r="C73" s="54" t="s">
        <v>98</v>
      </c>
      <c r="D73" s="82"/>
      <c r="E73" s="82"/>
      <c r="F73" s="82"/>
      <c r="G73" s="82">
        <f t="shared" si="8"/>
        <v>0</v>
      </c>
      <c r="H73" s="82"/>
      <c r="I73" s="84"/>
      <c r="J73" s="84"/>
      <c r="K73" s="80"/>
    </row>
    <row r="74" spans="1:11" ht="15.6" x14ac:dyDescent="0.3">
      <c r="A74" s="114" t="s">
        <v>99</v>
      </c>
      <c r="B74" s="114"/>
      <c r="C74" s="54" t="s">
        <v>100</v>
      </c>
      <c r="D74" s="82">
        <v>1.5</v>
      </c>
      <c r="E74" s="82">
        <v>3.6</v>
      </c>
      <c r="F74" s="82">
        <v>3.3</v>
      </c>
      <c r="G74" s="82">
        <f t="shared" si="8"/>
        <v>4</v>
      </c>
      <c r="H74" s="85">
        <v>1</v>
      </c>
      <c r="I74" s="85">
        <v>1</v>
      </c>
      <c r="J74" s="85">
        <v>1</v>
      </c>
      <c r="K74" s="86">
        <v>1</v>
      </c>
    </row>
    <row r="75" spans="1:11" ht="15.6" x14ac:dyDescent="0.3">
      <c r="A75" s="114" t="s">
        <v>101</v>
      </c>
      <c r="B75" s="114"/>
      <c r="C75" s="54" t="s">
        <v>102</v>
      </c>
      <c r="D75" s="82">
        <v>12</v>
      </c>
      <c r="E75" s="82">
        <v>16.5</v>
      </c>
      <c r="F75" s="82">
        <v>16.2</v>
      </c>
      <c r="G75" s="82">
        <f t="shared" si="8"/>
        <v>12.999999999999998</v>
      </c>
      <c r="H75" s="82">
        <v>3.3</v>
      </c>
      <c r="I75" s="82">
        <v>3.3</v>
      </c>
      <c r="J75" s="82">
        <v>3.3</v>
      </c>
      <c r="K75" s="80">
        <v>3.1</v>
      </c>
    </row>
    <row r="76" spans="1:11" ht="15.6" x14ac:dyDescent="0.3">
      <c r="A76" s="114" t="s">
        <v>103</v>
      </c>
      <c r="B76" s="114"/>
      <c r="C76" s="54" t="s">
        <v>104</v>
      </c>
      <c r="D76" s="82"/>
      <c r="E76" s="82"/>
      <c r="F76" s="82"/>
      <c r="G76" s="82">
        <f t="shared" si="8"/>
        <v>0</v>
      </c>
      <c r="H76" s="82"/>
      <c r="I76" s="82"/>
      <c r="J76" s="82"/>
      <c r="K76" s="80"/>
    </row>
    <row r="77" spans="1:11" ht="15.6" x14ac:dyDescent="0.3">
      <c r="A77" s="114" t="s">
        <v>105</v>
      </c>
      <c r="B77" s="114"/>
      <c r="C77" s="54" t="s">
        <v>106</v>
      </c>
      <c r="D77" s="82">
        <v>15.2</v>
      </c>
      <c r="E77" s="82">
        <v>20</v>
      </c>
      <c r="F77" s="82">
        <v>20</v>
      </c>
      <c r="G77" s="82">
        <f t="shared" si="8"/>
        <v>19</v>
      </c>
      <c r="H77" s="82">
        <v>4.7</v>
      </c>
      <c r="I77" s="82">
        <v>4.7</v>
      </c>
      <c r="J77" s="82">
        <v>4.7</v>
      </c>
      <c r="K77" s="80">
        <v>4.9000000000000004</v>
      </c>
    </row>
    <row r="78" spans="1:11" ht="48.75" customHeight="1" x14ac:dyDescent="0.3">
      <c r="A78" s="114" t="s">
        <v>447</v>
      </c>
      <c r="B78" s="114"/>
      <c r="C78" s="54" t="s">
        <v>108</v>
      </c>
      <c r="D78" s="82">
        <v>12</v>
      </c>
      <c r="E78" s="82">
        <v>49</v>
      </c>
      <c r="F78" s="82">
        <v>70</v>
      </c>
      <c r="G78" s="82">
        <f t="shared" si="8"/>
        <v>72</v>
      </c>
      <c r="H78" s="82">
        <v>19.5</v>
      </c>
      <c r="I78" s="82">
        <v>17.5</v>
      </c>
      <c r="J78" s="82">
        <v>17.5</v>
      </c>
      <c r="K78" s="80">
        <v>17.5</v>
      </c>
    </row>
    <row r="79" spans="1:11" ht="15.6" x14ac:dyDescent="0.3">
      <c r="A79" s="109" t="s">
        <v>109</v>
      </c>
      <c r="B79" s="109"/>
      <c r="C79" s="93">
        <v>9</v>
      </c>
      <c r="D79" s="83">
        <f>SUM(D80:D86)</f>
        <v>0</v>
      </c>
      <c r="E79" s="83">
        <f t="shared" ref="E79:K79" si="10">SUM(E80:E86)</f>
        <v>0</v>
      </c>
      <c r="F79" s="83">
        <f t="shared" si="10"/>
        <v>0</v>
      </c>
      <c r="G79" s="82">
        <f t="shared" si="8"/>
        <v>0</v>
      </c>
      <c r="H79" s="83">
        <f t="shared" si="10"/>
        <v>0</v>
      </c>
      <c r="I79" s="83">
        <f t="shared" si="10"/>
        <v>0</v>
      </c>
      <c r="J79" s="83">
        <f t="shared" si="10"/>
        <v>0</v>
      </c>
      <c r="K79" s="83">
        <f t="shared" si="10"/>
        <v>0</v>
      </c>
    </row>
    <row r="80" spans="1:11" ht="15.6" x14ac:dyDescent="0.3">
      <c r="A80" s="114" t="s">
        <v>110</v>
      </c>
      <c r="B80" s="114"/>
      <c r="C80" s="54" t="s">
        <v>111</v>
      </c>
      <c r="D80" s="82"/>
      <c r="E80" s="82"/>
      <c r="F80" s="82"/>
      <c r="G80" s="82"/>
      <c r="H80" s="82"/>
      <c r="I80" s="82"/>
      <c r="J80" s="82"/>
      <c r="K80" s="80"/>
    </row>
    <row r="81" spans="1:11" ht="15.6" x14ac:dyDescent="0.3">
      <c r="A81" s="114" t="s">
        <v>112</v>
      </c>
      <c r="B81" s="114"/>
      <c r="C81" s="54" t="s">
        <v>113</v>
      </c>
      <c r="D81" s="82"/>
      <c r="E81" s="82"/>
      <c r="F81" s="82"/>
      <c r="G81" s="82"/>
      <c r="H81" s="82"/>
      <c r="I81" s="82"/>
      <c r="J81" s="82"/>
      <c r="K81" s="80"/>
    </row>
    <row r="82" spans="1:11" ht="15.6" x14ac:dyDescent="0.3">
      <c r="A82" s="114" t="s">
        <v>43</v>
      </c>
      <c r="B82" s="114"/>
      <c r="C82" s="54" t="s">
        <v>114</v>
      </c>
      <c r="D82" s="82"/>
      <c r="E82" s="82"/>
      <c r="F82" s="82"/>
      <c r="G82" s="82"/>
      <c r="H82" s="82"/>
      <c r="I82" s="82"/>
      <c r="J82" s="82"/>
      <c r="K82" s="80"/>
    </row>
    <row r="83" spans="1:11" ht="15.6" x14ac:dyDescent="0.3">
      <c r="A83" s="114" t="s">
        <v>115</v>
      </c>
      <c r="B83" s="114"/>
      <c r="C83" s="54" t="s">
        <v>116</v>
      </c>
      <c r="D83" s="82"/>
      <c r="E83" s="82"/>
      <c r="F83" s="82"/>
      <c r="G83" s="82"/>
      <c r="H83" s="82"/>
      <c r="I83" s="82"/>
      <c r="J83" s="82"/>
      <c r="K83" s="80"/>
    </row>
    <row r="84" spans="1:11" ht="15.6" x14ac:dyDescent="0.3">
      <c r="A84" s="114" t="s">
        <v>117</v>
      </c>
      <c r="B84" s="114"/>
      <c r="C84" s="54" t="s">
        <v>118</v>
      </c>
      <c r="D84" s="82"/>
      <c r="E84" s="82"/>
      <c r="F84" s="82"/>
      <c r="G84" s="82"/>
      <c r="H84" s="82"/>
      <c r="I84" s="82"/>
      <c r="J84" s="82"/>
      <c r="K84" s="80"/>
    </row>
    <row r="85" spans="1:11" ht="15.6" x14ac:dyDescent="0.3">
      <c r="A85" s="114" t="s">
        <v>119</v>
      </c>
      <c r="B85" s="114"/>
      <c r="C85" s="54" t="s">
        <v>120</v>
      </c>
      <c r="D85" s="82"/>
      <c r="E85" s="82"/>
      <c r="F85" s="82"/>
      <c r="G85" s="82"/>
      <c r="H85" s="82"/>
      <c r="I85" s="82"/>
      <c r="J85" s="82"/>
      <c r="K85" s="80"/>
    </row>
    <row r="86" spans="1:11" ht="15.6" x14ac:dyDescent="0.3">
      <c r="A86" s="114" t="s">
        <v>121</v>
      </c>
      <c r="B86" s="114"/>
      <c r="C86" s="54" t="s">
        <v>122</v>
      </c>
      <c r="D86" s="82"/>
      <c r="E86" s="82"/>
      <c r="F86" s="82"/>
      <c r="G86" s="82"/>
      <c r="H86" s="82"/>
      <c r="I86" s="82"/>
      <c r="J86" s="82"/>
      <c r="K86" s="80"/>
    </row>
    <row r="87" spans="1:11" ht="15.6" x14ac:dyDescent="0.3">
      <c r="A87" s="109" t="s">
        <v>123</v>
      </c>
      <c r="B87" s="109"/>
      <c r="C87" s="93">
        <v>10</v>
      </c>
      <c r="D87" s="83">
        <f>SUM(D88:D92)</f>
        <v>17847.7</v>
      </c>
      <c r="E87" s="83">
        <f t="shared" ref="E87:K87" si="11">SUM(E88:E92)</f>
        <v>22880.5</v>
      </c>
      <c r="F87" s="83">
        <f t="shared" si="11"/>
        <v>27850</v>
      </c>
      <c r="G87" s="83">
        <f t="shared" si="11"/>
        <v>32432.1</v>
      </c>
      <c r="H87" s="83">
        <f t="shared" si="11"/>
        <v>7900</v>
      </c>
      <c r="I87" s="83">
        <f t="shared" si="11"/>
        <v>8000</v>
      </c>
      <c r="J87" s="83">
        <f t="shared" si="11"/>
        <v>8100</v>
      </c>
      <c r="K87" s="83">
        <f t="shared" si="11"/>
        <v>8432.1</v>
      </c>
    </row>
    <row r="88" spans="1:11" ht="15.6" x14ac:dyDescent="0.3">
      <c r="A88" s="116" t="s">
        <v>124</v>
      </c>
      <c r="B88" s="116"/>
      <c r="C88" s="54" t="s">
        <v>125</v>
      </c>
      <c r="D88" s="82"/>
      <c r="E88" s="82"/>
      <c r="F88" s="82"/>
      <c r="G88" s="82"/>
      <c r="H88" s="82"/>
      <c r="I88" s="82"/>
      <c r="J88" s="82"/>
      <c r="K88" s="80"/>
    </row>
    <row r="89" spans="1:11" ht="15.6" x14ac:dyDescent="0.3">
      <c r="A89" s="116" t="s">
        <v>126</v>
      </c>
      <c r="B89" s="116"/>
      <c r="C89" s="54" t="s">
        <v>127</v>
      </c>
      <c r="D89" s="82"/>
      <c r="E89" s="82"/>
      <c r="F89" s="82"/>
      <c r="G89" s="82"/>
      <c r="H89" s="82"/>
      <c r="I89" s="82"/>
      <c r="J89" s="82"/>
      <c r="K89" s="80"/>
    </row>
    <row r="90" spans="1:11" ht="15.6" x14ac:dyDescent="0.3">
      <c r="A90" s="116" t="s">
        <v>128</v>
      </c>
      <c r="B90" s="116"/>
      <c r="C90" s="54" t="s">
        <v>129</v>
      </c>
      <c r="D90" s="82"/>
      <c r="E90" s="82"/>
      <c r="F90" s="82"/>
      <c r="G90" s="82"/>
      <c r="H90" s="82"/>
      <c r="I90" s="82"/>
      <c r="J90" s="82"/>
      <c r="K90" s="80"/>
    </row>
    <row r="91" spans="1:11" ht="15.6" x14ac:dyDescent="0.3">
      <c r="A91" s="116" t="s">
        <v>130</v>
      </c>
      <c r="B91" s="116"/>
      <c r="C91" s="54" t="s">
        <v>131</v>
      </c>
      <c r="D91" s="82"/>
      <c r="E91" s="82"/>
      <c r="F91" s="82"/>
      <c r="G91" s="82"/>
      <c r="H91" s="82"/>
      <c r="I91" s="82"/>
      <c r="J91" s="82"/>
      <c r="K91" s="80"/>
    </row>
    <row r="92" spans="1:11" ht="15.6" x14ac:dyDescent="0.3">
      <c r="A92" s="116" t="s">
        <v>423</v>
      </c>
      <c r="B92" s="116"/>
      <c r="C92" s="54" t="s">
        <v>133</v>
      </c>
      <c r="D92" s="82">
        <v>17847.7</v>
      </c>
      <c r="E92" s="82">
        <v>22880.5</v>
      </c>
      <c r="F92" s="82">
        <v>27850</v>
      </c>
      <c r="G92" s="82">
        <f>H92+I92+J92+K92</f>
        <v>32432.1</v>
      </c>
      <c r="H92" s="82">
        <v>7900</v>
      </c>
      <c r="I92" s="82">
        <v>8000</v>
      </c>
      <c r="J92" s="82">
        <v>8100</v>
      </c>
      <c r="K92" s="80">
        <v>8432.1</v>
      </c>
    </row>
    <row r="93" spans="1:11" ht="34.5" customHeight="1" x14ac:dyDescent="0.3">
      <c r="A93" s="117" t="s">
        <v>134</v>
      </c>
      <c r="B93" s="117"/>
      <c r="C93" s="58" t="s">
        <v>135</v>
      </c>
      <c r="D93" s="82"/>
      <c r="E93" s="82"/>
      <c r="F93" s="82"/>
      <c r="G93" s="82"/>
      <c r="H93" s="82"/>
      <c r="I93" s="82"/>
      <c r="J93" s="82"/>
      <c r="K93" s="80"/>
    </row>
    <row r="94" spans="1:11" ht="15.6" x14ac:dyDescent="0.3">
      <c r="A94" s="116" t="s">
        <v>136</v>
      </c>
      <c r="B94" s="116"/>
      <c r="C94" s="54" t="s">
        <v>137</v>
      </c>
      <c r="D94" s="82"/>
      <c r="E94" s="82"/>
      <c r="F94" s="82"/>
      <c r="G94" s="82"/>
      <c r="H94" s="82"/>
      <c r="I94" s="82"/>
      <c r="J94" s="82"/>
      <c r="K94" s="80"/>
    </row>
    <row r="95" spans="1:11" ht="23.25" customHeight="1" x14ac:dyDescent="0.3">
      <c r="A95" s="117" t="s">
        <v>138</v>
      </c>
      <c r="B95" s="117"/>
      <c r="C95" s="58" t="s">
        <v>139</v>
      </c>
      <c r="D95" s="82"/>
      <c r="E95" s="82"/>
      <c r="F95" s="82"/>
      <c r="G95" s="82"/>
      <c r="H95" s="82"/>
      <c r="I95" s="82"/>
      <c r="J95" s="82"/>
      <c r="K95" s="80"/>
    </row>
    <row r="96" spans="1:11" ht="15.6" x14ac:dyDescent="0.3">
      <c r="A96" s="116" t="s">
        <v>136</v>
      </c>
      <c r="B96" s="116"/>
      <c r="C96" s="54" t="s">
        <v>140</v>
      </c>
      <c r="D96" s="82"/>
      <c r="E96" s="82"/>
      <c r="F96" s="82"/>
      <c r="G96" s="82"/>
      <c r="H96" s="82"/>
      <c r="I96" s="82"/>
      <c r="J96" s="82"/>
      <c r="K96" s="80"/>
    </row>
    <row r="97" spans="1:11" ht="16.5" customHeight="1" x14ac:dyDescent="0.3">
      <c r="A97" s="109" t="s">
        <v>141</v>
      </c>
      <c r="B97" s="109"/>
      <c r="C97" s="93">
        <v>13</v>
      </c>
      <c r="D97" s="83">
        <f>SUM(D98:D106)+0.1</f>
        <v>6915.2</v>
      </c>
      <c r="E97" s="83">
        <f t="shared" ref="E97:K97" si="12">SUM(E98:E106)</f>
        <v>5033.6000000000004</v>
      </c>
      <c r="F97" s="83">
        <f t="shared" si="12"/>
        <v>12216.27</v>
      </c>
      <c r="G97" s="83">
        <f>SUM(G98:G106)</f>
        <v>15515.6</v>
      </c>
      <c r="H97" s="83">
        <f t="shared" si="12"/>
        <v>4683</v>
      </c>
      <c r="I97" s="83">
        <f t="shared" si="12"/>
        <v>3463</v>
      </c>
      <c r="J97" s="83">
        <f t="shared" si="12"/>
        <v>3203</v>
      </c>
      <c r="K97" s="83">
        <f t="shared" si="12"/>
        <v>4166.6000000000004</v>
      </c>
    </row>
    <row r="98" spans="1:11" ht="15.6" x14ac:dyDescent="0.3">
      <c r="A98" s="116" t="s">
        <v>142</v>
      </c>
      <c r="B98" s="116"/>
      <c r="C98" s="54" t="s">
        <v>143</v>
      </c>
      <c r="D98" s="82"/>
      <c r="E98" s="82"/>
      <c r="F98" s="82"/>
      <c r="G98" s="82"/>
      <c r="H98" s="82"/>
      <c r="I98" s="82"/>
      <c r="J98" s="82"/>
      <c r="K98" s="80"/>
    </row>
    <row r="99" spans="1:11" ht="15.6" x14ac:dyDescent="0.3">
      <c r="A99" s="116" t="s">
        <v>144</v>
      </c>
      <c r="B99" s="116"/>
      <c r="C99" s="54" t="s">
        <v>145</v>
      </c>
      <c r="D99" s="82"/>
      <c r="E99" s="82"/>
      <c r="F99" s="82"/>
      <c r="G99" s="82"/>
      <c r="H99" s="82"/>
      <c r="I99" s="82"/>
      <c r="J99" s="82"/>
      <c r="K99" s="80"/>
    </row>
    <row r="100" spans="1:11" ht="15.6" x14ac:dyDescent="0.3">
      <c r="A100" s="116" t="s">
        <v>146</v>
      </c>
      <c r="B100" s="116"/>
      <c r="C100" s="54" t="s">
        <v>147</v>
      </c>
      <c r="D100" s="82"/>
      <c r="E100" s="82"/>
      <c r="F100" s="82"/>
      <c r="G100" s="82"/>
      <c r="H100" s="82"/>
      <c r="I100" s="82"/>
      <c r="J100" s="82"/>
      <c r="K100" s="80"/>
    </row>
    <row r="101" spans="1:11" ht="15.6" x14ac:dyDescent="0.3">
      <c r="A101" s="116" t="s">
        <v>148</v>
      </c>
      <c r="B101" s="116"/>
      <c r="C101" s="54" t="s">
        <v>149</v>
      </c>
      <c r="D101" s="82"/>
      <c r="E101" s="82"/>
      <c r="F101" s="82"/>
      <c r="G101" s="82"/>
      <c r="H101" s="82"/>
      <c r="I101" s="82"/>
      <c r="J101" s="82"/>
      <c r="K101" s="80"/>
    </row>
    <row r="102" spans="1:11" ht="15.6" x14ac:dyDescent="0.3">
      <c r="A102" s="116" t="s">
        <v>150</v>
      </c>
      <c r="B102" s="116"/>
      <c r="C102" s="54" t="s">
        <v>151</v>
      </c>
      <c r="D102" s="82">
        <v>0.5</v>
      </c>
      <c r="E102" s="82"/>
      <c r="F102" s="82"/>
      <c r="G102" s="82"/>
      <c r="H102" s="82"/>
      <c r="I102" s="82"/>
      <c r="J102" s="82"/>
      <c r="K102" s="80"/>
    </row>
    <row r="103" spans="1:11" ht="15.6" x14ac:dyDescent="0.3">
      <c r="A103" s="116" t="s">
        <v>152</v>
      </c>
      <c r="B103" s="116"/>
      <c r="C103" s="54" t="s">
        <v>153</v>
      </c>
      <c r="D103" s="82">
        <v>11.2</v>
      </c>
      <c r="E103" s="82"/>
      <c r="F103" s="82"/>
      <c r="G103" s="82">
        <f>H103+I103+J103+K103</f>
        <v>12</v>
      </c>
      <c r="H103" s="82">
        <v>3</v>
      </c>
      <c r="I103" s="82">
        <v>3</v>
      </c>
      <c r="J103" s="82">
        <v>3</v>
      </c>
      <c r="K103" s="80">
        <v>3</v>
      </c>
    </row>
    <row r="104" spans="1:11" ht="15.6" x14ac:dyDescent="0.3">
      <c r="A104" s="116" t="s">
        <v>154</v>
      </c>
      <c r="B104" s="116"/>
      <c r="C104" s="54" t="s">
        <v>155</v>
      </c>
      <c r="D104" s="82"/>
      <c r="E104" s="82"/>
      <c r="F104" s="82"/>
      <c r="G104" s="82"/>
      <c r="H104" s="82"/>
      <c r="I104" s="82"/>
      <c r="J104" s="82"/>
      <c r="K104" s="80"/>
    </row>
    <row r="105" spans="1:11" ht="15.6" x14ac:dyDescent="0.3">
      <c r="A105" s="116" t="s">
        <v>156</v>
      </c>
      <c r="B105" s="116"/>
      <c r="C105" s="54" t="s">
        <v>157</v>
      </c>
      <c r="D105" s="82"/>
      <c r="E105" s="82"/>
      <c r="F105" s="82"/>
      <c r="G105" s="82"/>
      <c r="H105" s="82"/>
      <c r="I105" s="82"/>
      <c r="J105" s="82"/>
      <c r="K105" s="80"/>
    </row>
    <row r="106" spans="1:11" ht="33.75" customHeight="1" x14ac:dyDescent="0.3">
      <c r="A106" s="116" t="s">
        <v>436</v>
      </c>
      <c r="B106" s="116"/>
      <c r="C106" s="54" t="s">
        <v>159</v>
      </c>
      <c r="D106" s="82">
        <v>6903.4</v>
      </c>
      <c r="E106" s="82">
        <v>5033.6000000000004</v>
      </c>
      <c r="F106" s="82">
        <f>5665.6-310+2898.95-24.38-12+3000+1000+150-151.9</f>
        <v>12216.27</v>
      </c>
      <c r="G106" s="82">
        <f>H106+I106+J106+K106</f>
        <v>15503.6</v>
      </c>
      <c r="H106" s="82">
        <f>4680</f>
        <v>4680</v>
      </c>
      <c r="I106" s="82">
        <v>3460</v>
      </c>
      <c r="J106" s="82">
        <v>3200</v>
      </c>
      <c r="K106" s="80">
        <v>4163.6000000000004</v>
      </c>
    </row>
    <row r="107" spans="1:11" ht="15.6" x14ac:dyDescent="0.3">
      <c r="A107" s="117" t="s">
        <v>160</v>
      </c>
      <c r="B107" s="117"/>
      <c r="C107" s="58" t="s">
        <v>161</v>
      </c>
      <c r="D107" s="83">
        <f>D47+D87+D93+D95-D48-D79-D97</f>
        <v>-6773.599999999994</v>
      </c>
      <c r="E107" s="83">
        <f t="shared" ref="E107:K107" si="13">E47+E87+E93+E95-E48-E79-E97</f>
        <v>-2802.7999999999975</v>
      </c>
      <c r="F107" s="83">
        <f t="shared" si="13"/>
        <v>-10635.869999999999</v>
      </c>
      <c r="G107" s="83">
        <f t="shared" si="13"/>
        <v>-7060.0200000000023</v>
      </c>
      <c r="H107" s="83">
        <f t="shared" si="13"/>
        <v>-2368.079999999999</v>
      </c>
      <c r="I107" s="83">
        <f t="shared" si="13"/>
        <v>-1403.4099999999999</v>
      </c>
      <c r="J107" s="83">
        <f t="shared" si="13"/>
        <v>-1410.3799999999992</v>
      </c>
      <c r="K107" s="83">
        <f t="shared" si="13"/>
        <v>-1878.1100000000006</v>
      </c>
    </row>
    <row r="108" spans="1:11" ht="15.6" x14ac:dyDescent="0.3">
      <c r="A108" s="117" t="s">
        <v>162</v>
      </c>
      <c r="B108" s="117"/>
      <c r="C108" s="58" t="s">
        <v>163</v>
      </c>
      <c r="D108" s="82"/>
      <c r="E108" s="82"/>
      <c r="F108" s="82"/>
      <c r="G108" s="82"/>
      <c r="H108" s="82"/>
      <c r="I108" s="82"/>
      <c r="J108" s="82"/>
      <c r="K108" s="80"/>
    </row>
    <row r="109" spans="1:11" ht="15.6" x14ac:dyDescent="0.3">
      <c r="A109" s="109" t="s">
        <v>164</v>
      </c>
      <c r="B109" s="109"/>
      <c r="C109" s="93">
        <v>16</v>
      </c>
      <c r="D109" s="82"/>
      <c r="E109" s="82"/>
      <c r="F109" s="82"/>
      <c r="G109" s="82"/>
      <c r="H109" s="82"/>
      <c r="I109" s="82"/>
      <c r="J109" s="82"/>
      <c r="K109" s="80"/>
    </row>
    <row r="110" spans="1:11" ht="15.6" x14ac:dyDescent="0.3">
      <c r="A110" s="117" t="s">
        <v>165</v>
      </c>
      <c r="B110" s="117"/>
      <c r="C110" s="58" t="s">
        <v>166</v>
      </c>
      <c r="D110" s="82"/>
      <c r="E110" s="82"/>
      <c r="F110" s="82"/>
      <c r="G110" s="82"/>
      <c r="H110" s="82"/>
      <c r="I110" s="82"/>
      <c r="J110" s="82"/>
      <c r="K110" s="80"/>
    </row>
    <row r="111" spans="1:11" ht="15.6" x14ac:dyDescent="0.3">
      <c r="A111" s="117" t="s">
        <v>167</v>
      </c>
      <c r="B111" s="117"/>
      <c r="C111" s="58" t="s">
        <v>168</v>
      </c>
      <c r="D111" s="82"/>
      <c r="E111" s="82"/>
      <c r="F111" s="82"/>
      <c r="G111" s="82"/>
      <c r="H111" s="82"/>
      <c r="I111" s="82"/>
      <c r="J111" s="82"/>
      <c r="K111" s="80"/>
    </row>
    <row r="112" spans="1:11" ht="15.6" x14ac:dyDescent="0.3">
      <c r="A112" s="117" t="s">
        <v>169</v>
      </c>
      <c r="B112" s="117"/>
      <c r="C112" s="58" t="s">
        <v>170</v>
      </c>
      <c r="D112" s="83">
        <f>SUM(D113:D115)-0.1</f>
        <v>6939.9</v>
      </c>
      <c r="E112" s="83">
        <f t="shared" ref="E112:K112" si="14">SUM(E113:E115)</f>
        <v>2872.6</v>
      </c>
      <c r="F112" s="83">
        <f t="shared" si="14"/>
        <v>10830</v>
      </c>
      <c r="G112" s="83">
        <f t="shared" si="14"/>
        <v>7130</v>
      </c>
      <c r="H112" s="83">
        <f t="shared" si="14"/>
        <v>2380</v>
      </c>
      <c r="I112" s="83">
        <f t="shared" si="14"/>
        <v>1415</v>
      </c>
      <c r="J112" s="83">
        <f t="shared" si="14"/>
        <v>1425</v>
      </c>
      <c r="K112" s="83">
        <f t="shared" si="14"/>
        <v>1910</v>
      </c>
    </row>
    <row r="113" spans="1:11" ht="15.6" x14ac:dyDescent="0.3">
      <c r="A113" s="116" t="s">
        <v>435</v>
      </c>
      <c r="B113" s="116"/>
      <c r="C113" s="54" t="s">
        <v>172</v>
      </c>
      <c r="D113" s="82">
        <v>6702.7</v>
      </c>
      <c r="E113" s="82">
        <v>2742.6</v>
      </c>
      <c r="F113" s="82">
        <v>10700</v>
      </c>
      <c r="G113" s="82">
        <f>H113+I113+J113+K113</f>
        <v>6930</v>
      </c>
      <c r="H113" s="82">
        <v>2310</v>
      </c>
      <c r="I113" s="82">
        <v>1375</v>
      </c>
      <c r="J113" s="82">
        <v>1395</v>
      </c>
      <c r="K113" s="80">
        <v>1850</v>
      </c>
    </row>
    <row r="114" spans="1:11" ht="15.6" x14ac:dyDescent="0.3">
      <c r="A114" s="116" t="s">
        <v>173</v>
      </c>
      <c r="B114" s="116"/>
      <c r="C114" s="54" t="s">
        <v>174</v>
      </c>
      <c r="D114" s="82"/>
      <c r="E114" s="82"/>
      <c r="F114" s="82"/>
      <c r="G114" s="82"/>
      <c r="H114" s="82"/>
      <c r="I114" s="82"/>
      <c r="J114" s="82"/>
      <c r="K114" s="80"/>
    </row>
    <row r="115" spans="1:11" ht="20.25" customHeight="1" x14ac:dyDescent="0.3">
      <c r="A115" s="116" t="s">
        <v>434</v>
      </c>
      <c r="B115" s="116"/>
      <c r="C115" s="54" t="s">
        <v>176</v>
      </c>
      <c r="D115" s="82">
        <v>237.3</v>
      </c>
      <c r="E115" s="82">
        <v>130</v>
      </c>
      <c r="F115" s="82">
        <v>130</v>
      </c>
      <c r="G115" s="82">
        <f>H115+I115+J115+K115</f>
        <v>200</v>
      </c>
      <c r="H115" s="82">
        <v>70</v>
      </c>
      <c r="I115" s="82">
        <v>40</v>
      </c>
      <c r="J115" s="82">
        <v>30</v>
      </c>
      <c r="K115" s="80">
        <v>60</v>
      </c>
    </row>
    <row r="116" spans="1:11" ht="15.6" x14ac:dyDescent="0.3">
      <c r="A116" s="117" t="s">
        <v>177</v>
      </c>
      <c r="B116" s="117"/>
      <c r="C116" s="58" t="s">
        <v>178</v>
      </c>
      <c r="D116" s="83">
        <f>SUM(D117:D120)</f>
        <v>151.9</v>
      </c>
      <c r="E116" s="83">
        <f t="shared" ref="E116:K116" si="15">SUM(E117:E120)</f>
        <v>20</v>
      </c>
      <c r="F116" s="83">
        <f t="shared" si="15"/>
        <v>151.9</v>
      </c>
      <c r="G116" s="83">
        <f t="shared" si="15"/>
        <v>0</v>
      </c>
      <c r="H116" s="83">
        <f t="shared" si="15"/>
        <v>0</v>
      </c>
      <c r="I116" s="83">
        <f t="shared" si="15"/>
        <v>0</v>
      </c>
      <c r="J116" s="83">
        <f t="shared" si="15"/>
        <v>0</v>
      </c>
      <c r="K116" s="83">
        <f t="shared" si="15"/>
        <v>0</v>
      </c>
    </row>
    <row r="117" spans="1:11" ht="15.6" x14ac:dyDescent="0.3">
      <c r="A117" s="116" t="s">
        <v>179</v>
      </c>
      <c r="B117" s="116"/>
      <c r="C117" s="54" t="s">
        <v>180</v>
      </c>
      <c r="D117" s="82"/>
      <c r="E117" s="82"/>
      <c r="F117" s="82"/>
      <c r="G117" s="82"/>
      <c r="H117" s="82"/>
      <c r="I117" s="82"/>
      <c r="J117" s="82"/>
      <c r="K117" s="80"/>
    </row>
    <row r="118" spans="1:11" ht="15.6" x14ac:dyDescent="0.3">
      <c r="A118" s="116" t="s">
        <v>181</v>
      </c>
      <c r="B118" s="116"/>
      <c r="C118" s="54" t="s">
        <v>182</v>
      </c>
      <c r="D118" s="82"/>
      <c r="E118" s="82"/>
      <c r="F118" s="82"/>
      <c r="G118" s="82"/>
      <c r="H118" s="82"/>
      <c r="I118" s="82"/>
      <c r="J118" s="82"/>
      <c r="K118" s="80"/>
    </row>
    <row r="119" spans="1:11" ht="15.6" x14ac:dyDescent="0.3">
      <c r="A119" s="116" t="s">
        <v>183</v>
      </c>
      <c r="B119" s="116"/>
      <c r="C119" s="54" t="s">
        <v>184</v>
      </c>
      <c r="D119" s="82"/>
      <c r="E119" s="82"/>
      <c r="F119" s="82"/>
      <c r="G119" s="82"/>
      <c r="H119" s="82"/>
      <c r="I119" s="82"/>
      <c r="J119" s="82"/>
      <c r="K119" s="80"/>
    </row>
    <row r="120" spans="1:11" ht="15.6" x14ac:dyDescent="0.3">
      <c r="A120" s="116" t="s">
        <v>422</v>
      </c>
      <c r="B120" s="116"/>
      <c r="C120" s="54" t="s">
        <v>185</v>
      </c>
      <c r="D120" s="82">
        <v>151.9</v>
      </c>
      <c r="E120" s="82">
        <v>20</v>
      </c>
      <c r="F120" s="82">
        <v>151.9</v>
      </c>
      <c r="G120" s="82">
        <f>H120+I120+J120+K120</f>
        <v>0</v>
      </c>
      <c r="H120" s="82">
        <v>0</v>
      </c>
      <c r="I120" s="82">
        <v>0</v>
      </c>
      <c r="J120" s="82">
        <v>0</v>
      </c>
      <c r="K120" s="80">
        <v>0</v>
      </c>
    </row>
    <row r="121" spans="1:11" ht="30.75" customHeight="1" x14ac:dyDescent="0.3">
      <c r="A121" s="117" t="s">
        <v>186</v>
      </c>
      <c r="B121" s="117"/>
      <c r="C121" s="58" t="s">
        <v>187</v>
      </c>
      <c r="D121" s="83">
        <f>D107+D108+D110+D112-D109-D111-D116</f>
        <v>14.400000000005633</v>
      </c>
      <c r="E121" s="83">
        <f t="shared" ref="E121:K121" si="16">E107+E108+E110+E112-E109-E111-E116</f>
        <v>49.800000000002456</v>
      </c>
      <c r="F121" s="83">
        <f>F107+F108+F110+F112-F109-F111-F116</f>
        <v>42.230000000001013</v>
      </c>
      <c r="G121" s="83">
        <f>G107+G108+G110+G112-G109-G111-G116</f>
        <v>69.979999999997744</v>
      </c>
      <c r="H121" s="83">
        <f t="shared" si="16"/>
        <v>11.920000000000982</v>
      </c>
      <c r="I121" s="83">
        <f t="shared" si="16"/>
        <v>11.590000000000146</v>
      </c>
      <c r="J121" s="83">
        <f t="shared" si="16"/>
        <v>14.6200000000008</v>
      </c>
      <c r="K121" s="83">
        <f t="shared" si="16"/>
        <v>31.889999999999418</v>
      </c>
    </row>
    <row r="122" spans="1:11" ht="15.6" x14ac:dyDescent="0.3">
      <c r="A122" s="117" t="s">
        <v>188</v>
      </c>
      <c r="B122" s="117"/>
      <c r="C122" s="58" t="s">
        <v>189</v>
      </c>
      <c r="D122" s="82">
        <v>1.2</v>
      </c>
      <c r="E122" s="82">
        <f t="shared" ref="E122:F122" si="17">E121*18%</f>
        <v>8.9640000000004409</v>
      </c>
      <c r="F122" s="82">
        <f t="shared" si="17"/>
        <v>7.601400000000182</v>
      </c>
      <c r="G122" s="82">
        <f>H122+I122+J122+K122</f>
        <v>12.5</v>
      </c>
      <c r="H122" s="82">
        <f>ROUND(H121*18%,1)</f>
        <v>2.1</v>
      </c>
      <c r="I122" s="82">
        <f t="shared" ref="I122:K122" si="18">ROUND(I121*18%,1)</f>
        <v>2.1</v>
      </c>
      <c r="J122" s="82">
        <f t="shared" si="18"/>
        <v>2.6</v>
      </c>
      <c r="K122" s="82">
        <f t="shared" si="18"/>
        <v>5.7</v>
      </c>
    </row>
    <row r="123" spans="1:11" ht="15.6" x14ac:dyDescent="0.3">
      <c r="A123" s="117" t="s">
        <v>190</v>
      </c>
      <c r="B123" s="117"/>
      <c r="C123" s="58" t="s">
        <v>191</v>
      </c>
      <c r="D123" s="82"/>
      <c r="E123" s="82"/>
      <c r="F123" s="82"/>
      <c r="G123" s="82"/>
      <c r="H123" s="82"/>
      <c r="I123" s="82"/>
      <c r="J123" s="82"/>
      <c r="K123" s="80"/>
    </row>
    <row r="124" spans="1:11" ht="15.6" x14ac:dyDescent="0.3">
      <c r="A124" s="116" t="s">
        <v>192</v>
      </c>
      <c r="B124" s="116"/>
      <c r="C124" s="54" t="s">
        <v>193</v>
      </c>
      <c r="D124" s="82"/>
      <c r="E124" s="82"/>
      <c r="F124" s="82"/>
      <c r="G124" s="82"/>
      <c r="H124" s="82"/>
      <c r="I124" s="82"/>
      <c r="J124" s="82"/>
      <c r="K124" s="80"/>
    </row>
    <row r="125" spans="1:11" ht="15.6" x14ac:dyDescent="0.3">
      <c r="A125" s="116" t="s">
        <v>194</v>
      </c>
      <c r="B125" s="116"/>
      <c r="C125" s="54" t="s">
        <v>195</v>
      </c>
      <c r="D125" s="82"/>
      <c r="E125" s="82"/>
      <c r="F125" s="82"/>
      <c r="G125" s="82"/>
      <c r="H125" s="82"/>
      <c r="I125" s="82"/>
      <c r="J125" s="82"/>
      <c r="K125" s="82"/>
    </row>
    <row r="126" spans="1:11" ht="15.6" x14ac:dyDescent="0.3">
      <c r="A126" s="117" t="s">
        <v>196</v>
      </c>
      <c r="B126" s="117"/>
      <c r="C126" s="58" t="s">
        <v>197</v>
      </c>
      <c r="D126" s="82"/>
      <c r="E126" s="82"/>
      <c r="F126" s="82"/>
      <c r="G126" s="82"/>
      <c r="H126" s="82"/>
      <c r="I126" s="82"/>
      <c r="J126" s="82"/>
      <c r="K126" s="80"/>
    </row>
    <row r="127" spans="1:11" ht="15.6" x14ac:dyDescent="0.3">
      <c r="A127" s="117" t="s">
        <v>198</v>
      </c>
      <c r="B127" s="117"/>
      <c r="C127" s="58" t="s">
        <v>199</v>
      </c>
      <c r="D127" s="82"/>
      <c r="E127" s="82"/>
      <c r="F127" s="82"/>
      <c r="G127" s="82"/>
      <c r="H127" s="82"/>
      <c r="I127" s="82"/>
      <c r="J127" s="82"/>
      <c r="K127" s="80"/>
    </row>
    <row r="128" spans="1:11" ht="15.6" x14ac:dyDescent="0.3">
      <c r="A128" s="117" t="s">
        <v>200</v>
      </c>
      <c r="B128" s="117"/>
      <c r="C128" s="58" t="s">
        <v>201</v>
      </c>
      <c r="D128" s="82"/>
      <c r="E128" s="82"/>
      <c r="F128" s="82"/>
      <c r="G128" s="82"/>
      <c r="H128" s="82"/>
      <c r="I128" s="82"/>
      <c r="J128" s="82"/>
      <c r="K128" s="80"/>
    </row>
    <row r="129" spans="1:11" ht="15.6" x14ac:dyDescent="0.3">
      <c r="A129" s="117" t="s">
        <v>202</v>
      </c>
      <c r="B129" s="117"/>
      <c r="C129" s="58" t="s">
        <v>203</v>
      </c>
      <c r="D129" s="83">
        <f>D121+D124+D126-D122-D125-D127-D128</f>
        <v>13.200000000005634</v>
      </c>
      <c r="E129" s="83">
        <f t="shared" ref="E129:K129" si="19">E121+E124+E126-E122-E125-E127-E128</f>
        <v>40.836000000002016</v>
      </c>
      <c r="F129" s="83">
        <f t="shared" si="19"/>
        <v>34.62860000000083</v>
      </c>
      <c r="G129" s="83">
        <f t="shared" si="19"/>
        <v>57.479999999997744</v>
      </c>
      <c r="H129" s="83">
        <f t="shared" si="19"/>
        <v>9.8200000000009826</v>
      </c>
      <c r="I129" s="83">
        <f t="shared" si="19"/>
        <v>9.4900000000001459</v>
      </c>
      <c r="J129" s="83">
        <f t="shared" si="19"/>
        <v>12.020000000000801</v>
      </c>
      <c r="K129" s="83">
        <f t="shared" si="19"/>
        <v>26.189999999999419</v>
      </c>
    </row>
    <row r="130" spans="1:11" ht="15.6" x14ac:dyDescent="0.3">
      <c r="A130" s="116" t="s">
        <v>204</v>
      </c>
      <c r="B130" s="116"/>
      <c r="C130" s="54" t="s">
        <v>205</v>
      </c>
      <c r="D130" s="82">
        <f>IF(D129&gt;=0,D129,0)</f>
        <v>13.200000000005634</v>
      </c>
      <c r="E130" s="82">
        <f t="shared" ref="E130:K130" si="20">IF(E129&gt;=0,E129,0)</f>
        <v>40.836000000002016</v>
      </c>
      <c r="F130" s="82">
        <f t="shared" si="20"/>
        <v>34.62860000000083</v>
      </c>
      <c r="G130" s="82">
        <f>IF(G129&gt;=0,G129,0)</f>
        <v>57.479999999997744</v>
      </c>
      <c r="H130" s="82">
        <f t="shared" si="20"/>
        <v>9.8200000000009826</v>
      </c>
      <c r="I130" s="82">
        <f t="shared" si="20"/>
        <v>9.4900000000001459</v>
      </c>
      <c r="J130" s="82">
        <f t="shared" si="20"/>
        <v>12.020000000000801</v>
      </c>
      <c r="K130" s="82">
        <f t="shared" si="20"/>
        <v>26.189999999999419</v>
      </c>
    </row>
    <row r="131" spans="1:11" ht="15.6" x14ac:dyDescent="0.3">
      <c r="A131" s="116" t="s">
        <v>206</v>
      </c>
      <c r="B131" s="116"/>
      <c r="C131" s="54" t="s">
        <v>207</v>
      </c>
      <c r="D131" s="82">
        <f>IF(D129&lt;0,D129,0)</f>
        <v>0</v>
      </c>
      <c r="E131" s="82">
        <f t="shared" ref="E131:K131" si="21">IF(E129&lt;0,E129,0)</f>
        <v>0</v>
      </c>
      <c r="F131" s="82">
        <f t="shared" si="21"/>
        <v>0</v>
      </c>
      <c r="G131" s="82">
        <f t="shared" si="21"/>
        <v>0</v>
      </c>
      <c r="H131" s="82">
        <f t="shared" si="21"/>
        <v>0</v>
      </c>
      <c r="I131" s="82">
        <f t="shared" si="21"/>
        <v>0</v>
      </c>
      <c r="J131" s="82">
        <f t="shared" si="21"/>
        <v>0</v>
      </c>
      <c r="K131" s="82">
        <f t="shared" si="21"/>
        <v>0</v>
      </c>
    </row>
    <row r="132" spans="1:11" ht="15.6" x14ac:dyDescent="0.3">
      <c r="A132" s="117" t="s">
        <v>208</v>
      </c>
      <c r="B132" s="117"/>
      <c r="C132" s="93">
        <v>28</v>
      </c>
      <c r="D132" s="83">
        <f>D31+D87+D93+D95+D108+D110+D112+D124+D126</f>
        <v>25023.9</v>
      </c>
      <c r="E132" s="83">
        <f t="shared" ref="E132:K132" si="22">E31+E87+E93+E95+E108+E110+E112+E124+E126</f>
        <v>25997.399999999998</v>
      </c>
      <c r="F132" s="83">
        <f t="shared" si="22"/>
        <v>38918.75</v>
      </c>
      <c r="G132" s="83">
        <f t="shared" si="22"/>
        <v>39814.759999999995</v>
      </c>
      <c r="H132" s="83">
        <f t="shared" si="22"/>
        <v>10325.200000000001</v>
      </c>
      <c r="I132" s="83">
        <f t="shared" si="22"/>
        <v>9500</v>
      </c>
      <c r="J132" s="83">
        <f t="shared" si="22"/>
        <v>9602.7000000000007</v>
      </c>
      <c r="K132" s="83">
        <f t="shared" si="22"/>
        <v>10386.9</v>
      </c>
    </row>
    <row r="133" spans="1:11" ht="15.6" x14ac:dyDescent="0.3">
      <c r="A133" s="117" t="s">
        <v>209</v>
      </c>
      <c r="B133" s="117"/>
      <c r="C133" s="93">
        <v>29</v>
      </c>
      <c r="D133" s="83">
        <f t="shared" ref="D133:J133" si="23">D37+D48+D79+D97+D109+D111+D116+D122+D125+D127+D128</f>
        <v>25010.7</v>
      </c>
      <c r="E133" s="83">
        <f t="shared" si="23"/>
        <v>25956.563999999998</v>
      </c>
      <c r="F133" s="83">
        <f t="shared" si="23"/>
        <v>38884.121399999996</v>
      </c>
      <c r="G133" s="83">
        <f>G37+G48+G79+G97+G109+G111+G116+G122+G125+G127+G128</f>
        <v>39757.279999999999</v>
      </c>
      <c r="H133" s="83">
        <f t="shared" si="23"/>
        <v>10315.379999999999</v>
      </c>
      <c r="I133" s="83">
        <f t="shared" si="23"/>
        <v>9490.51</v>
      </c>
      <c r="J133" s="83">
        <f t="shared" si="23"/>
        <v>9590.6799999999985</v>
      </c>
      <c r="K133" s="83">
        <f>K37+K48+K79+K97+K109+K111+K116+K122+K125+K127+K128</f>
        <v>10360.710000000001</v>
      </c>
    </row>
    <row r="134" spans="1:11" ht="15.6" x14ac:dyDescent="0.3">
      <c r="A134" s="118" t="s">
        <v>210</v>
      </c>
      <c r="B134" s="112"/>
      <c r="C134" s="112"/>
      <c r="D134" s="112"/>
      <c r="E134" s="112"/>
      <c r="F134" s="112"/>
      <c r="G134" s="112"/>
      <c r="H134" s="112"/>
      <c r="I134" s="112"/>
      <c r="J134" s="112"/>
      <c r="K134" s="113"/>
    </row>
    <row r="135" spans="1:11" ht="15.6" x14ac:dyDescent="0.3">
      <c r="A135" s="109" t="s">
        <v>211</v>
      </c>
      <c r="B135" s="109"/>
      <c r="C135" s="93">
        <v>30</v>
      </c>
      <c r="D135" s="83">
        <f>D136</f>
        <v>6.6000000000028169</v>
      </c>
      <c r="E135" s="83">
        <f>E136</f>
        <v>20.418000000001008</v>
      </c>
      <c r="F135" s="83">
        <f t="shared" ref="F135:K135" si="24">F136</f>
        <v>17.314300000000415</v>
      </c>
      <c r="G135" s="83">
        <f>H135+I135+J135+K135</f>
        <v>28.700000000000003</v>
      </c>
      <c r="H135" s="83">
        <f t="shared" si="24"/>
        <v>4.9000000000000004</v>
      </c>
      <c r="I135" s="83">
        <f t="shared" si="24"/>
        <v>4.7</v>
      </c>
      <c r="J135" s="83">
        <f t="shared" si="24"/>
        <v>6</v>
      </c>
      <c r="K135" s="83">
        <f t="shared" si="24"/>
        <v>13.1</v>
      </c>
    </row>
    <row r="136" spans="1:11" ht="27.75" customHeight="1" x14ac:dyDescent="0.3">
      <c r="A136" s="114" t="s">
        <v>212</v>
      </c>
      <c r="B136" s="114"/>
      <c r="C136" s="54" t="s">
        <v>213</v>
      </c>
      <c r="D136" s="82">
        <f>D129*0.5</f>
        <v>6.6000000000028169</v>
      </c>
      <c r="E136" s="82">
        <f t="shared" ref="E136:F136" si="25">E129*0.5</f>
        <v>20.418000000001008</v>
      </c>
      <c r="F136" s="82">
        <f t="shared" si="25"/>
        <v>17.314300000000415</v>
      </c>
      <c r="G136" s="82">
        <f>H136+I136+J136+K136</f>
        <v>28.700000000000003</v>
      </c>
      <c r="H136" s="82">
        <f>ROUND(H129*0.5,1)</f>
        <v>4.9000000000000004</v>
      </c>
      <c r="I136" s="82">
        <f t="shared" ref="I136:K136" si="26">ROUND(I129*0.5,1)</f>
        <v>4.7</v>
      </c>
      <c r="J136" s="82">
        <f t="shared" si="26"/>
        <v>6</v>
      </c>
      <c r="K136" s="82">
        <f t="shared" si="26"/>
        <v>13.1</v>
      </c>
    </row>
    <row r="137" spans="1:11" ht="33.75" customHeight="1" x14ac:dyDescent="0.3">
      <c r="A137" s="109" t="s">
        <v>214</v>
      </c>
      <c r="B137" s="109"/>
      <c r="C137" s="93">
        <v>31</v>
      </c>
      <c r="D137" s="83">
        <v>-234.7</v>
      </c>
      <c r="E137" s="83">
        <v>-221.4</v>
      </c>
      <c r="F137" s="83">
        <v>-221.4</v>
      </c>
      <c r="G137" s="83">
        <v>-186.8</v>
      </c>
      <c r="H137" s="83">
        <v>-129.30000000000001</v>
      </c>
      <c r="I137" s="83">
        <v>-119</v>
      </c>
      <c r="J137" s="83">
        <v>-109.5</v>
      </c>
      <c r="K137" s="78">
        <v>-97.5</v>
      </c>
    </row>
    <row r="138" spans="1:11" ht="15.6" x14ac:dyDescent="0.3">
      <c r="A138" s="109" t="s">
        <v>215</v>
      </c>
      <c r="B138" s="109"/>
      <c r="C138" s="93">
        <v>32</v>
      </c>
      <c r="D138" s="83">
        <f>SUM(D139:D142)</f>
        <v>6.6000000000028169</v>
      </c>
      <c r="E138" s="83">
        <f t="shared" ref="E138:K138" si="27">SUM(E139:E142)</f>
        <v>20.418000000001008</v>
      </c>
      <c r="F138" s="83">
        <f t="shared" si="27"/>
        <v>17.314300000000415</v>
      </c>
      <c r="G138" s="83">
        <f t="shared" si="27"/>
        <v>28.700000000000003</v>
      </c>
      <c r="H138" s="83">
        <f t="shared" si="27"/>
        <v>4.9000000000000004</v>
      </c>
      <c r="I138" s="83">
        <f>SUM(I139:I142)</f>
        <v>2.6</v>
      </c>
      <c r="J138" s="83">
        <f t="shared" si="27"/>
        <v>6</v>
      </c>
      <c r="K138" s="83">
        <f t="shared" si="27"/>
        <v>13.1</v>
      </c>
    </row>
    <row r="139" spans="1:11" ht="15.6" x14ac:dyDescent="0.3">
      <c r="A139" s="114" t="s">
        <v>216</v>
      </c>
      <c r="B139" s="114"/>
      <c r="C139" s="60" t="s">
        <v>217</v>
      </c>
      <c r="D139" s="82"/>
      <c r="E139" s="82"/>
      <c r="F139" s="82"/>
      <c r="G139" s="82"/>
      <c r="H139" s="82"/>
      <c r="I139" s="82"/>
      <c r="J139" s="82"/>
      <c r="K139" s="80"/>
    </row>
    <row r="140" spans="1:11" ht="15.6" x14ac:dyDescent="0.3">
      <c r="A140" s="114" t="s">
        <v>218</v>
      </c>
      <c r="B140" s="114"/>
      <c r="C140" s="60" t="s">
        <v>219</v>
      </c>
      <c r="D140" s="82"/>
      <c r="E140" s="82"/>
      <c r="F140" s="82"/>
      <c r="G140" s="82"/>
      <c r="H140" s="82"/>
      <c r="I140" s="82"/>
      <c r="J140" s="82"/>
      <c r="K140" s="80"/>
    </row>
    <row r="141" spans="1:11" ht="15.6" x14ac:dyDescent="0.3">
      <c r="A141" s="114" t="s">
        <v>220</v>
      </c>
      <c r="B141" s="114"/>
      <c r="C141" s="60" t="s">
        <v>221</v>
      </c>
      <c r="D141" s="82"/>
      <c r="E141" s="82"/>
      <c r="F141" s="82"/>
      <c r="G141" s="82"/>
      <c r="H141" s="82"/>
      <c r="I141" s="82"/>
      <c r="J141" s="82"/>
      <c r="K141" s="80"/>
    </row>
    <row r="142" spans="1:11" ht="15.6" x14ac:dyDescent="0.3">
      <c r="A142" s="114" t="s">
        <v>440</v>
      </c>
      <c r="B142" s="114"/>
      <c r="C142" s="60" t="s">
        <v>222</v>
      </c>
      <c r="D142" s="82">
        <f>D136</f>
        <v>6.6000000000028169</v>
      </c>
      <c r="E142" s="82">
        <f t="shared" ref="E142:K142" si="28">E136</f>
        <v>20.418000000001008</v>
      </c>
      <c r="F142" s="82">
        <f t="shared" si="28"/>
        <v>17.314300000000415</v>
      </c>
      <c r="G142" s="82">
        <f t="shared" si="28"/>
        <v>28.700000000000003</v>
      </c>
      <c r="H142" s="82">
        <f t="shared" si="28"/>
        <v>4.9000000000000004</v>
      </c>
      <c r="I142" s="82">
        <v>2.6</v>
      </c>
      <c r="J142" s="82">
        <f t="shared" si="28"/>
        <v>6</v>
      </c>
      <c r="K142" s="82">
        <f t="shared" si="28"/>
        <v>13.1</v>
      </c>
    </row>
    <row r="143" spans="1:11" ht="33.75" customHeight="1" x14ac:dyDescent="0.3">
      <c r="A143" s="109" t="s">
        <v>223</v>
      </c>
      <c r="B143" s="109"/>
      <c r="C143" s="93">
        <v>33</v>
      </c>
      <c r="D143" s="83">
        <f>D137+D135+D138+0.1</f>
        <v>-221.39999999999438</v>
      </c>
      <c r="E143" s="83">
        <f>E137+E130</f>
        <v>-180.56399999999798</v>
      </c>
      <c r="F143" s="83">
        <f>F137+F129-F135-F138+F130</f>
        <v>-186.77139999999915</v>
      </c>
      <c r="G143" s="83">
        <f>G137+G129</f>
        <v>-129.32000000000227</v>
      </c>
      <c r="H143" s="83">
        <f>H137+H129</f>
        <v>-119.47999999999902</v>
      </c>
      <c r="I143" s="83">
        <f>I137+I129</f>
        <v>-109.50999999999985</v>
      </c>
      <c r="J143" s="83">
        <f>J137+J129</f>
        <v>-97.479999999999194</v>
      </c>
      <c r="K143" s="83">
        <f>K137+K129</f>
        <v>-71.310000000000585</v>
      </c>
    </row>
    <row r="144" spans="1:11" ht="15.6" x14ac:dyDescent="0.3">
      <c r="A144" s="118" t="s">
        <v>224</v>
      </c>
      <c r="B144" s="112"/>
      <c r="C144" s="112"/>
      <c r="D144" s="112"/>
      <c r="E144" s="112"/>
      <c r="F144" s="112"/>
      <c r="G144" s="112"/>
      <c r="H144" s="112"/>
      <c r="I144" s="112"/>
      <c r="J144" s="112"/>
      <c r="K144" s="113"/>
    </row>
    <row r="145" spans="1:11" ht="38.25" customHeight="1" x14ac:dyDescent="0.3">
      <c r="A145" s="109" t="s">
        <v>225</v>
      </c>
      <c r="B145" s="109"/>
      <c r="C145" s="93">
        <v>34</v>
      </c>
      <c r="D145" s="83">
        <f>SUM(D146:D151)</f>
        <v>48.5</v>
      </c>
      <c r="E145" s="83">
        <f>SUM(E146:E151)-0.1</f>
        <v>57.764000000000436</v>
      </c>
      <c r="F145" s="83">
        <f t="shared" ref="F145:K145" si="29">SUM(F146:F151)</f>
        <v>55.351400000000183</v>
      </c>
      <c r="G145" s="83">
        <f t="shared" si="29"/>
        <v>63</v>
      </c>
      <c r="H145" s="83">
        <f>SUM(H146:H151)</f>
        <v>11.1</v>
      </c>
      <c r="I145" s="83">
        <f t="shared" si="29"/>
        <v>19.100000000000001</v>
      </c>
      <c r="J145" s="83">
        <f t="shared" si="29"/>
        <v>18.100000000000001</v>
      </c>
      <c r="K145" s="83">
        <f t="shared" si="29"/>
        <v>14.7</v>
      </c>
    </row>
    <row r="146" spans="1:11" ht="15.6" x14ac:dyDescent="0.3">
      <c r="A146" s="114" t="s">
        <v>226</v>
      </c>
      <c r="B146" s="114"/>
      <c r="C146" s="60" t="s">
        <v>227</v>
      </c>
      <c r="D146" s="82">
        <f>D122</f>
        <v>1.2</v>
      </c>
      <c r="E146" s="82">
        <f t="shared" ref="E146:K146" si="30">E122</f>
        <v>8.9640000000004409</v>
      </c>
      <c r="F146" s="82">
        <f t="shared" si="30"/>
        <v>7.601400000000182</v>
      </c>
      <c r="G146" s="82">
        <f>G122</f>
        <v>12.5</v>
      </c>
      <c r="H146" s="82">
        <f>H122</f>
        <v>2.1</v>
      </c>
      <c r="I146" s="82">
        <f t="shared" si="30"/>
        <v>2.1</v>
      </c>
      <c r="J146" s="82">
        <f t="shared" si="30"/>
        <v>2.6</v>
      </c>
      <c r="K146" s="82">
        <f t="shared" si="30"/>
        <v>5.7</v>
      </c>
    </row>
    <row r="147" spans="1:11" ht="31.5" customHeight="1" x14ac:dyDescent="0.3">
      <c r="A147" s="114" t="s">
        <v>228</v>
      </c>
      <c r="B147" s="114"/>
      <c r="C147" s="60" t="s">
        <v>229</v>
      </c>
      <c r="D147" s="82">
        <v>47.3</v>
      </c>
      <c r="E147" s="82">
        <v>48.9</v>
      </c>
      <c r="F147" s="82">
        <f>F28</f>
        <v>47.75</v>
      </c>
      <c r="G147" s="82">
        <f t="shared" ref="G147" si="31">G28</f>
        <v>50.5</v>
      </c>
      <c r="H147" s="82">
        <f>H28</f>
        <v>9</v>
      </c>
      <c r="I147" s="82">
        <f t="shared" ref="I147:K147" si="32">I28</f>
        <v>17</v>
      </c>
      <c r="J147" s="82">
        <f t="shared" si="32"/>
        <v>15.5</v>
      </c>
      <c r="K147" s="82">
        <f t="shared" si="32"/>
        <v>9</v>
      </c>
    </row>
    <row r="148" spans="1:11" ht="15.6" x14ac:dyDescent="0.3">
      <c r="A148" s="114" t="s">
        <v>230</v>
      </c>
      <c r="B148" s="114"/>
      <c r="C148" s="60" t="s">
        <v>231</v>
      </c>
      <c r="D148" s="87"/>
      <c r="E148" s="87"/>
      <c r="F148" s="87"/>
      <c r="G148" s="87"/>
      <c r="H148" s="87"/>
      <c r="I148" s="87"/>
      <c r="J148" s="87"/>
      <c r="K148" s="87"/>
    </row>
    <row r="149" spans="1:11" ht="15.6" x14ac:dyDescent="0.3">
      <c r="A149" s="114" t="s">
        <v>232</v>
      </c>
      <c r="B149" s="114"/>
      <c r="C149" s="60" t="s">
        <v>233</v>
      </c>
      <c r="D149" s="82"/>
      <c r="E149" s="82"/>
      <c r="F149" s="82"/>
      <c r="G149" s="82"/>
      <c r="H149" s="82"/>
      <c r="I149" s="82"/>
      <c r="J149" s="82"/>
      <c r="K149" s="80"/>
    </row>
    <row r="150" spans="1:11" ht="15.6" x14ac:dyDescent="0.3">
      <c r="A150" s="114" t="s">
        <v>234</v>
      </c>
      <c r="B150" s="114"/>
      <c r="C150" s="60" t="s">
        <v>235</v>
      </c>
      <c r="D150" s="82"/>
      <c r="E150" s="82"/>
      <c r="F150" s="82"/>
      <c r="G150" s="82"/>
      <c r="H150" s="82"/>
      <c r="I150" s="82"/>
      <c r="J150" s="82"/>
      <c r="K150" s="80"/>
    </row>
    <row r="151" spans="1:11" ht="16.2" x14ac:dyDescent="0.3">
      <c r="A151" s="114" t="s">
        <v>236</v>
      </c>
      <c r="B151" s="114"/>
      <c r="C151" s="60" t="s">
        <v>237</v>
      </c>
      <c r="D151" s="88"/>
      <c r="E151" s="88"/>
      <c r="F151" s="88"/>
      <c r="G151" s="88"/>
      <c r="H151" s="88"/>
      <c r="I151" s="88"/>
      <c r="J151" s="82"/>
      <c r="K151" s="80"/>
    </row>
    <row r="152" spans="1:11" ht="34.5" customHeight="1" x14ac:dyDescent="0.3">
      <c r="A152" s="109" t="s">
        <v>238</v>
      </c>
      <c r="B152" s="109"/>
      <c r="C152" s="93">
        <v>35</v>
      </c>
      <c r="D152" s="83">
        <f>SUM(D153:D155)</f>
        <v>1285</v>
      </c>
      <c r="E152" s="83">
        <f t="shared" ref="E152:K152" si="33">SUM(E153:E155)</f>
        <v>2294.418000000001</v>
      </c>
      <c r="F152" s="83">
        <f t="shared" si="33"/>
        <v>2285.6203000000005</v>
      </c>
      <c r="G152" s="83">
        <f t="shared" si="33"/>
        <v>2582.8999999999996</v>
      </c>
      <c r="H152" s="83">
        <f t="shared" si="33"/>
        <v>638</v>
      </c>
      <c r="I152" s="83">
        <f t="shared" si="33"/>
        <v>643.6</v>
      </c>
      <c r="J152" s="83">
        <f t="shared" si="33"/>
        <v>639.1</v>
      </c>
      <c r="K152" s="83">
        <f t="shared" si="33"/>
        <v>662.2</v>
      </c>
    </row>
    <row r="153" spans="1:11" ht="15.6" x14ac:dyDescent="0.3">
      <c r="A153" s="114" t="s">
        <v>437</v>
      </c>
      <c r="B153" s="114"/>
      <c r="C153" s="60" t="s">
        <v>239</v>
      </c>
      <c r="D153" s="82">
        <v>1278.4000000000001</v>
      </c>
      <c r="E153" s="82">
        <v>2274</v>
      </c>
      <c r="F153" s="82">
        <f t="shared" ref="F153" si="34">F249*0.18</f>
        <v>2268.306</v>
      </c>
      <c r="G153" s="82">
        <f>H153+I153+J153+K153</f>
        <v>2554.1999999999998</v>
      </c>
      <c r="H153" s="82">
        <f>ROUND(H249*0.18,1)</f>
        <v>633.1</v>
      </c>
      <c r="I153" s="82">
        <f t="shared" ref="I153:K153" si="35">ROUND(I249*0.18,1)</f>
        <v>638.9</v>
      </c>
      <c r="J153" s="82">
        <f t="shared" si="35"/>
        <v>633.1</v>
      </c>
      <c r="K153" s="82">
        <f t="shared" si="35"/>
        <v>649.1</v>
      </c>
    </row>
    <row r="154" spans="1:11" ht="29.25" customHeight="1" x14ac:dyDescent="0.3">
      <c r="A154" s="114" t="s">
        <v>439</v>
      </c>
      <c r="B154" s="114"/>
      <c r="C154" s="60" t="s">
        <v>240</v>
      </c>
      <c r="D154" s="82">
        <v>6.6</v>
      </c>
      <c r="E154" s="82">
        <f t="shared" ref="E154:K154" si="36">E136</f>
        <v>20.418000000001008</v>
      </c>
      <c r="F154" s="82">
        <f t="shared" si="36"/>
        <v>17.314300000000415</v>
      </c>
      <c r="G154" s="82">
        <f t="shared" si="36"/>
        <v>28.700000000000003</v>
      </c>
      <c r="H154" s="82">
        <f>ROUND(H136,1)</f>
        <v>4.9000000000000004</v>
      </c>
      <c r="I154" s="82">
        <f t="shared" si="36"/>
        <v>4.7</v>
      </c>
      <c r="J154" s="82">
        <f t="shared" si="36"/>
        <v>6</v>
      </c>
      <c r="K154" s="82">
        <f t="shared" si="36"/>
        <v>13.1</v>
      </c>
    </row>
    <row r="155" spans="1:11" ht="15.6" hidden="1" x14ac:dyDescent="0.3">
      <c r="A155" s="114"/>
      <c r="B155" s="114"/>
      <c r="C155" s="60" t="s">
        <v>241</v>
      </c>
      <c r="D155" s="82"/>
      <c r="E155" s="82"/>
      <c r="F155" s="82"/>
      <c r="G155" s="82"/>
      <c r="H155" s="82"/>
      <c r="I155" s="82"/>
      <c r="J155" s="82"/>
      <c r="K155" s="80"/>
    </row>
    <row r="156" spans="1:11" ht="32.25" customHeight="1" x14ac:dyDescent="0.3">
      <c r="A156" s="109" t="s">
        <v>242</v>
      </c>
      <c r="B156" s="109"/>
      <c r="C156" s="93">
        <v>36</v>
      </c>
      <c r="D156" s="83">
        <f>SUM(D157:D158)</f>
        <v>1632.5</v>
      </c>
      <c r="E156" s="83">
        <f t="shared" ref="E156:K156" si="37">SUM(E157:E158)</f>
        <v>2706.5</v>
      </c>
      <c r="F156" s="83">
        <f t="shared" si="37"/>
        <v>2961.4</v>
      </c>
      <c r="G156" s="83">
        <f t="shared" si="37"/>
        <v>3334.6800000000003</v>
      </c>
      <c r="H156" s="83">
        <f t="shared" si="37"/>
        <v>826.57999999999993</v>
      </c>
      <c r="I156" s="83">
        <f t="shared" si="37"/>
        <v>834.11</v>
      </c>
      <c r="J156" s="83">
        <f t="shared" si="37"/>
        <v>826.57999999999993</v>
      </c>
      <c r="K156" s="83">
        <f t="shared" si="37"/>
        <v>847.41</v>
      </c>
    </row>
    <row r="157" spans="1:11" ht="15.6" x14ac:dyDescent="0.3">
      <c r="A157" s="114" t="s">
        <v>243</v>
      </c>
      <c r="B157" s="114"/>
      <c r="C157" s="60" t="s">
        <v>244</v>
      </c>
      <c r="D157" s="82">
        <v>1524.7</v>
      </c>
      <c r="E157" s="82">
        <v>2533.6999999999998</v>
      </c>
      <c r="F157" s="82">
        <f>F58</f>
        <v>2772.4</v>
      </c>
      <c r="G157" s="82">
        <f>H157+I157+J157+K157</f>
        <v>3121.78</v>
      </c>
      <c r="H157" s="82">
        <f>H58</f>
        <v>773.78</v>
      </c>
      <c r="I157" s="82">
        <f t="shared" ref="I157:K157" si="38">I58</f>
        <v>780.91</v>
      </c>
      <c r="J157" s="82">
        <f t="shared" si="38"/>
        <v>773.78</v>
      </c>
      <c r="K157" s="82">
        <f t="shared" si="38"/>
        <v>793.31</v>
      </c>
    </row>
    <row r="158" spans="1:11" ht="15.6" x14ac:dyDescent="0.3">
      <c r="A158" s="114" t="s">
        <v>245</v>
      </c>
      <c r="B158" s="114"/>
      <c r="C158" s="60" t="s">
        <v>246</v>
      </c>
      <c r="D158" s="82">
        <v>107.8</v>
      </c>
      <c r="E158" s="82">
        <v>172.8</v>
      </c>
      <c r="F158" s="82">
        <f>ROUND(F57*1.5%,1)</f>
        <v>189</v>
      </c>
      <c r="G158" s="82">
        <f>H158+I158+J158+K158</f>
        <v>212.9</v>
      </c>
      <c r="H158" s="82">
        <f>ROUND(H57*1.5%,1)</f>
        <v>52.8</v>
      </c>
      <c r="I158" s="82">
        <f t="shared" ref="I158:K158" si="39">ROUND(I57*1.5%,1)</f>
        <v>53.2</v>
      </c>
      <c r="J158" s="82">
        <f t="shared" si="39"/>
        <v>52.8</v>
      </c>
      <c r="K158" s="82">
        <f t="shared" si="39"/>
        <v>54.1</v>
      </c>
    </row>
    <row r="159" spans="1:11" ht="15.6" x14ac:dyDescent="0.3">
      <c r="A159" s="109" t="s">
        <v>247</v>
      </c>
      <c r="B159" s="109"/>
      <c r="C159" s="93">
        <v>37</v>
      </c>
      <c r="D159" s="83">
        <f>D160+D163</f>
        <v>0</v>
      </c>
      <c r="E159" s="83">
        <f t="shared" ref="E159:K159" si="40">E160+E163</f>
        <v>0</v>
      </c>
      <c r="F159" s="83">
        <f t="shared" si="40"/>
        <v>0</v>
      </c>
      <c r="G159" s="83">
        <f t="shared" si="40"/>
        <v>0</v>
      </c>
      <c r="H159" s="83">
        <f t="shared" si="40"/>
        <v>0</v>
      </c>
      <c r="I159" s="83">
        <f t="shared" si="40"/>
        <v>0</v>
      </c>
      <c r="J159" s="83">
        <f t="shared" si="40"/>
        <v>0</v>
      </c>
      <c r="K159" s="83">
        <f t="shared" si="40"/>
        <v>0</v>
      </c>
    </row>
    <row r="160" spans="1:11" ht="16.2" x14ac:dyDescent="0.3">
      <c r="A160" s="119" t="s">
        <v>248</v>
      </c>
      <c r="B160" s="119"/>
      <c r="C160" s="64" t="s">
        <v>249</v>
      </c>
      <c r="D160" s="88">
        <f>SUM(D161:D162)</f>
        <v>0</v>
      </c>
      <c r="E160" s="88">
        <f t="shared" ref="E160:K160" si="41">SUM(E161:E162)</f>
        <v>0</v>
      </c>
      <c r="F160" s="88">
        <f t="shared" si="41"/>
        <v>0</v>
      </c>
      <c r="G160" s="88">
        <f t="shared" si="41"/>
        <v>0</v>
      </c>
      <c r="H160" s="88">
        <f t="shared" si="41"/>
        <v>0</v>
      </c>
      <c r="I160" s="88">
        <f t="shared" si="41"/>
        <v>0</v>
      </c>
      <c r="J160" s="88">
        <f t="shared" si="41"/>
        <v>0</v>
      </c>
      <c r="K160" s="88">
        <f t="shared" si="41"/>
        <v>0</v>
      </c>
    </row>
    <row r="161" spans="1:11" ht="15.6" x14ac:dyDescent="0.3">
      <c r="A161" s="114" t="s">
        <v>250</v>
      </c>
      <c r="B161" s="114"/>
      <c r="C161" s="60" t="s">
        <v>251</v>
      </c>
      <c r="D161" s="82"/>
      <c r="E161" s="82"/>
      <c r="F161" s="82"/>
      <c r="G161" s="82"/>
      <c r="H161" s="82"/>
      <c r="I161" s="82"/>
      <c r="J161" s="82"/>
      <c r="K161" s="80"/>
    </row>
    <row r="162" spans="1:11" ht="15.6" x14ac:dyDescent="0.3">
      <c r="A162" s="114" t="s">
        <v>252</v>
      </c>
      <c r="B162" s="114"/>
      <c r="C162" s="60" t="s">
        <v>253</v>
      </c>
      <c r="D162" s="82"/>
      <c r="E162" s="82"/>
      <c r="F162" s="82"/>
      <c r="G162" s="82"/>
      <c r="H162" s="82"/>
      <c r="I162" s="82"/>
      <c r="J162" s="82"/>
      <c r="K162" s="80"/>
    </row>
    <row r="163" spans="1:11" ht="16.2" x14ac:dyDescent="0.3">
      <c r="A163" s="119" t="s">
        <v>254</v>
      </c>
      <c r="B163" s="119"/>
      <c r="C163" s="64" t="s">
        <v>255</v>
      </c>
      <c r="D163" s="88">
        <f>SUM(D164:D165)</f>
        <v>0</v>
      </c>
      <c r="E163" s="88">
        <f t="shared" ref="E163:K163" si="42">SUM(E164:E165)</f>
        <v>0</v>
      </c>
      <c r="F163" s="88">
        <f t="shared" si="42"/>
        <v>0</v>
      </c>
      <c r="G163" s="88">
        <f t="shared" si="42"/>
        <v>0</v>
      </c>
      <c r="H163" s="88">
        <f t="shared" si="42"/>
        <v>0</v>
      </c>
      <c r="I163" s="88">
        <f t="shared" si="42"/>
        <v>0</v>
      </c>
      <c r="J163" s="88">
        <f t="shared" si="42"/>
        <v>0</v>
      </c>
      <c r="K163" s="88">
        <f t="shared" si="42"/>
        <v>0</v>
      </c>
    </row>
    <row r="164" spans="1:11" ht="15.6" x14ac:dyDescent="0.3">
      <c r="A164" s="114" t="s">
        <v>250</v>
      </c>
      <c r="B164" s="114"/>
      <c r="C164" s="60" t="s">
        <v>256</v>
      </c>
      <c r="D164" s="82"/>
      <c r="E164" s="82"/>
      <c r="F164" s="82"/>
      <c r="G164" s="82"/>
      <c r="H164" s="82"/>
      <c r="I164" s="82"/>
      <c r="J164" s="82"/>
      <c r="K164" s="80"/>
    </row>
    <row r="165" spans="1:11" ht="15.6" x14ac:dyDescent="0.3">
      <c r="A165" s="114" t="s">
        <v>252</v>
      </c>
      <c r="B165" s="114"/>
      <c r="C165" s="60" t="s">
        <v>257</v>
      </c>
      <c r="D165" s="82"/>
      <c r="E165" s="82"/>
      <c r="F165" s="82"/>
      <c r="G165" s="82"/>
      <c r="H165" s="82"/>
      <c r="I165" s="82"/>
      <c r="J165" s="82"/>
      <c r="K165" s="80"/>
    </row>
    <row r="166" spans="1:11" ht="15.6" x14ac:dyDescent="0.3">
      <c r="A166" s="109" t="s">
        <v>258</v>
      </c>
      <c r="B166" s="109"/>
      <c r="C166" s="93">
        <v>38</v>
      </c>
      <c r="D166" s="83">
        <f>D159+D156+D152+D145</f>
        <v>2966</v>
      </c>
      <c r="E166" s="83">
        <f t="shared" ref="E166:K166" si="43">E159+E156+E152+E145</f>
        <v>5058.6820000000016</v>
      </c>
      <c r="F166" s="83">
        <f t="shared" si="43"/>
        <v>5302.3717000000006</v>
      </c>
      <c r="G166" s="83">
        <f t="shared" si="43"/>
        <v>5980.58</v>
      </c>
      <c r="H166" s="83">
        <f>H159+H156+H152+H145</f>
        <v>1475.6799999999998</v>
      </c>
      <c r="I166" s="83">
        <f t="shared" si="43"/>
        <v>1496.81</v>
      </c>
      <c r="J166" s="83">
        <f t="shared" si="43"/>
        <v>1483.7799999999997</v>
      </c>
      <c r="K166" s="83">
        <f t="shared" si="43"/>
        <v>1524.3100000000002</v>
      </c>
    </row>
    <row r="167" spans="1:11" ht="15.6" x14ac:dyDescent="0.3">
      <c r="A167" s="118" t="s">
        <v>259</v>
      </c>
      <c r="B167" s="112"/>
      <c r="C167" s="112"/>
      <c r="D167" s="112"/>
      <c r="E167" s="112"/>
      <c r="F167" s="112"/>
      <c r="G167" s="112"/>
      <c r="H167" s="112"/>
      <c r="I167" s="112"/>
      <c r="J167" s="112"/>
      <c r="K167" s="113"/>
    </row>
    <row r="168" spans="1:11" ht="16.2" x14ac:dyDescent="0.3">
      <c r="A168" s="114" t="s">
        <v>260</v>
      </c>
      <c r="B168" s="114"/>
      <c r="C168" s="93">
        <v>39</v>
      </c>
      <c r="D168" s="97">
        <v>8.3000000000000007</v>
      </c>
      <c r="E168" s="97">
        <v>10.5</v>
      </c>
      <c r="F168" s="88">
        <v>10.5</v>
      </c>
      <c r="G168" s="88">
        <f>F181</f>
        <v>54</v>
      </c>
      <c r="H168" s="88">
        <v>10.5</v>
      </c>
      <c r="I168" s="88">
        <v>12.62</v>
      </c>
      <c r="J168" s="88">
        <v>34.65</v>
      </c>
      <c r="K168" s="88">
        <v>30.36</v>
      </c>
    </row>
    <row r="169" spans="1:11" ht="15.6" x14ac:dyDescent="0.3">
      <c r="A169" s="114" t="s">
        <v>261</v>
      </c>
      <c r="B169" s="114"/>
      <c r="C169" s="93">
        <v>40</v>
      </c>
      <c r="D169" s="89">
        <f>D170</f>
        <v>17847.7</v>
      </c>
      <c r="E169" s="89">
        <f>E170</f>
        <v>22880.5</v>
      </c>
      <c r="F169" s="89">
        <f>F170</f>
        <v>27850</v>
      </c>
      <c r="G169" s="89">
        <f t="shared" ref="G169:K169" si="44">G170</f>
        <v>32432.1</v>
      </c>
      <c r="H169" s="89">
        <f t="shared" si="44"/>
        <v>7900</v>
      </c>
      <c r="I169" s="89">
        <f t="shared" si="44"/>
        <v>8000</v>
      </c>
      <c r="J169" s="89">
        <f t="shared" si="44"/>
        <v>8100</v>
      </c>
      <c r="K169" s="89">
        <f t="shared" si="44"/>
        <v>8432.1</v>
      </c>
    </row>
    <row r="170" spans="1:11" ht="15.6" x14ac:dyDescent="0.3">
      <c r="A170" s="114" t="s">
        <v>262</v>
      </c>
      <c r="B170" s="114"/>
      <c r="C170" s="60" t="s">
        <v>263</v>
      </c>
      <c r="D170" s="85">
        <v>17847.7</v>
      </c>
      <c r="E170" s="85">
        <f t="shared" ref="E170:K170" si="45">E92</f>
        <v>22880.5</v>
      </c>
      <c r="F170" s="85">
        <f t="shared" si="45"/>
        <v>27850</v>
      </c>
      <c r="G170" s="85">
        <f t="shared" si="45"/>
        <v>32432.1</v>
      </c>
      <c r="H170" s="85">
        <f t="shared" si="45"/>
        <v>7900</v>
      </c>
      <c r="I170" s="85">
        <f t="shared" si="45"/>
        <v>8000</v>
      </c>
      <c r="J170" s="85">
        <f t="shared" si="45"/>
        <v>8100</v>
      </c>
      <c r="K170" s="85">
        <f t="shared" si="45"/>
        <v>8432.1</v>
      </c>
    </row>
    <row r="171" spans="1:11" ht="15.6" x14ac:dyDescent="0.3">
      <c r="A171" s="114" t="s">
        <v>264</v>
      </c>
      <c r="B171" s="114"/>
      <c r="C171" s="93">
        <v>41</v>
      </c>
      <c r="D171" s="89">
        <v>27826.2</v>
      </c>
      <c r="E171" s="89">
        <v>10179.1</v>
      </c>
      <c r="F171" s="89">
        <f t="shared" ref="F171:K171" si="46">F192</f>
        <v>22002.1</v>
      </c>
      <c r="G171" s="89">
        <f t="shared" si="46"/>
        <v>7835</v>
      </c>
      <c r="H171" s="89">
        <f t="shared" si="46"/>
        <v>1150</v>
      </c>
      <c r="I171" s="89">
        <f t="shared" si="46"/>
        <v>2661</v>
      </c>
      <c r="J171" s="89">
        <f t="shared" si="46"/>
        <v>1100</v>
      </c>
      <c r="K171" s="89">
        <f t="shared" si="46"/>
        <v>2924</v>
      </c>
    </row>
    <row r="172" spans="1:11" ht="15.6" x14ac:dyDescent="0.3">
      <c r="A172" s="120" t="s">
        <v>425</v>
      </c>
      <c r="B172" s="121"/>
      <c r="C172" s="67" t="s">
        <v>424</v>
      </c>
      <c r="D172" s="89"/>
      <c r="E172" s="89"/>
      <c r="F172" s="87"/>
      <c r="G172" s="87"/>
      <c r="H172" s="87"/>
      <c r="I172" s="87"/>
      <c r="J172" s="87"/>
      <c r="K172" s="87"/>
    </row>
    <row r="173" spans="1:11" ht="15.6" x14ac:dyDescent="0.3">
      <c r="A173" s="114" t="s">
        <v>265</v>
      </c>
      <c r="B173" s="114"/>
      <c r="C173" s="93">
        <v>42</v>
      </c>
      <c r="D173" s="89"/>
      <c r="E173" s="89"/>
      <c r="F173" s="87"/>
      <c r="G173" s="87"/>
      <c r="H173" s="87"/>
      <c r="I173" s="87"/>
      <c r="J173" s="87"/>
      <c r="K173" s="87"/>
    </row>
    <row r="174" spans="1:11" ht="15.6" x14ac:dyDescent="0.3">
      <c r="A174" s="114" t="s">
        <v>266</v>
      </c>
      <c r="B174" s="114"/>
      <c r="C174" s="93">
        <v>43</v>
      </c>
      <c r="D174" s="90">
        <f>D169+D171+D173</f>
        <v>45673.9</v>
      </c>
      <c r="E174" s="90">
        <f>E169+E171+E173</f>
        <v>33059.599999999999</v>
      </c>
      <c r="F174" s="83">
        <f t="shared" ref="F174:K174" si="47">F169+F171+F173</f>
        <v>49852.1</v>
      </c>
      <c r="G174" s="83">
        <f>G169+G171+G173</f>
        <v>40267.1</v>
      </c>
      <c r="H174" s="83">
        <f>H169+H171+H173</f>
        <v>9050</v>
      </c>
      <c r="I174" s="83">
        <f t="shared" si="47"/>
        <v>10661</v>
      </c>
      <c r="J174" s="83">
        <f t="shared" si="47"/>
        <v>9200</v>
      </c>
      <c r="K174" s="83">
        <f t="shared" si="47"/>
        <v>11356.1</v>
      </c>
    </row>
    <row r="175" spans="1:11" ht="32.25" customHeight="1" x14ac:dyDescent="0.3">
      <c r="A175" s="114" t="s">
        <v>267</v>
      </c>
      <c r="B175" s="114"/>
      <c r="C175" s="93">
        <v>44</v>
      </c>
      <c r="D175" s="90">
        <f>D176</f>
        <v>285.60000000000002</v>
      </c>
      <c r="E175" s="90">
        <f>E176</f>
        <v>293.2</v>
      </c>
      <c r="F175" s="83">
        <f>F176</f>
        <v>286.5</v>
      </c>
      <c r="G175" s="83">
        <f>H175+I175+J175+K175</f>
        <v>303.15999999999997</v>
      </c>
      <c r="H175" s="83">
        <f>H27</f>
        <v>54.2</v>
      </c>
      <c r="I175" s="83">
        <f t="shared" ref="I175:K175" si="48">I27</f>
        <v>102</v>
      </c>
      <c r="J175" s="83">
        <f t="shared" si="48"/>
        <v>93.2</v>
      </c>
      <c r="K175" s="83">
        <f t="shared" si="48"/>
        <v>53.76</v>
      </c>
    </row>
    <row r="176" spans="1:11" ht="15.6" x14ac:dyDescent="0.3">
      <c r="A176" s="114" t="s">
        <v>268</v>
      </c>
      <c r="B176" s="114"/>
      <c r="C176" s="60" t="s">
        <v>269</v>
      </c>
      <c r="D176" s="85">
        <v>285.60000000000002</v>
      </c>
      <c r="E176" s="85">
        <v>293.2</v>
      </c>
      <c r="F176" s="82">
        <f>F27</f>
        <v>286.5</v>
      </c>
      <c r="G176" s="82">
        <f>H176+I176+J176+K176</f>
        <v>303.15999999999997</v>
      </c>
      <c r="H176" s="82">
        <f>H27</f>
        <v>54.2</v>
      </c>
      <c r="I176" s="82">
        <f t="shared" ref="I176:K176" si="49">I27</f>
        <v>102</v>
      </c>
      <c r="J176" s="82">
        <f t="shared" si="49"/>
        <v>93.2</v>
      </c>
      <c r="K176" s="82">
        <f t="shared" si="49"/>
        <v>53.76</v>
      </c>
    </row>
    <row r="177" spans="1:11" ht="15.6" x14ac:dyDescent="0.3">
      <c r="A177" s="114" t="s">
        <v>270</v>
      </c>
      <c r="B177" s="114"/>
      <c r="C177" s="60" t="s">
        <v>271</v>
      </c>
      <c r="D177" s="89">
        <f t="shared" ref="D177:K177" si="50">SUM(D178:D179)</f>
        <v>45890.400000000001</v>
      </c>
      <c r="E177" s="89">
        <v>33040.199999999997</v>
      </c>
      <c r="F177" s="89">
        <f>F178+F179</f>
        <v>49808.6</v>
      </c>
      <c r="G177" s="89">
        <f>SUM(G178:G179)</f>
        <v>40136.400000000001</v>
      </c>
      <c r="H177" s="89">
        <f t="shared" si="50"/>
        <v>9000</v>
      </c>
      <c r="I177" s="89">
        <f t="shared" si="50"/>
        <v>10641</v>
      </c>
      <c r="J177" s="89">
        <f t="shared" si="50"/>
        <v>9196</v>
      </c>
      <c r="K177" s="89">
        <f t="shared" si="50"/>
        <v>11299.4</v>
      </c>
    </row>
    <row r="178" spans="1:11" ht="15.6" x14ac:dyDescent="0.3">
      <c r="A178" s="114" t="s">
        <v>272</v>
      </c>
      <c r="B178" s="114"/>
      <c r="C178" s="60" t="s">
        <v>273</v>
      </c>
      <c r="D178" s="89">
        <v>27826.2</v>
      </c>
      <c r="E178" s="89">
        <v>10179.1</v>
      </c>
      <c r="F178" s="89">
        <f t="shared" ref="F178:K178" si="51">F192</f>
        <v>22002.1</v>
      </c>
      <c r="G178" s="89">
        <f t="shared" si="51"/>
        <v>7835</v>
      </c>
      <c r="H178" s="89">
        <f t="shared" si="51"/>
        <v>1150</v>
      </c>
      <c r="I178" s="89">
        <f t="shared" si="51"/>
        <v>2661</v>
      </c>
      <c r="J178" s="89">
        <f t="shared" si="51"/>
        <v>1100</v>
      </c>
      <c r="K178" s="89">
        <f t="shared" si="51"/>
        <v>2924</v>
      </c>
    </row>
    <row r="179" spans="1:11" ht="15.6" x14ac:dyDescent="0.3">
      <c r="A179" s="114" t="s">
        <v>274</v>
      </c>
      <c r="B179" s="114"/>
      <c r="C179" s="60" t="s">
        <v>275</v>
      </c>
      <c r="D179" s="89">
        <v>18064.2</v>
      </c>
      <c r="E179" s="89">
        <v>22861.1</v>
      </c>
      <c r="F179" s="89">
        <v>27806.5</v>
      </c>
      <c r="G179" s="89">
        <f>H179+I179+J179+K179</f>
        <v>32301.4</v>
      </c>
      <c r="H179" s="89">
        <v>7850</v>
      </c>
      <c r="I179" s="89">
        <v>7980</v>
      </c>
      <c r="J179" s="89">
        <v>8096</v>
      </c>
      <c r="K179" s="89">
        <v>8375.4</v>
      </c>
    </row>
    <row r="180" spans="1:11" ht="15.6" x14ac:dyDescent="0.3">
      <c r="A180" s="114" t="s">
        <v>276</v>
      </c>
      <c r="B180" s="114"/>
      <c r="C180" s="93">
        <v>45</v>
      </c>
      <c r="D180" s="89"/>
      <c r="E180" s="89"/>
      <c r="F180" s="89"/>
      <c r="G180" s="89"/>
      <c r="H180" s="89"/>
      <c r="I180" s="89"/>
      <c r="J180" s="89"/>
      <c r="K180" s="89"/>
    </row>
    <row r="181" spans="1:11" ht="15.6" x14ac:dyDescent="0.3">
      <c r="A181" s="114" t="s">
        <v>277</v>
      </c>
      <c r="B181" s="114"/>
      <c r="C181" s="93">
        <v>46</v>
      </c>
      <c r="D181" s="90">
        <f>D169+D168+D171+D175+D172-D177</f>
        <v>77.399999999994179</v>
      </c>
      <c r="E181" s="90">
        <v>29.9</v>
      </c>
      <c r="F181" s="90">
        <f>F168+F174+F180-F177</f>
        <v>54</v>
      </c>
      <c r="G181" s="90">
        <f>G168+G174+G180-G177</f>
        <v>184.69999999999709</v>
      </c>
      <c r="H181" s="90">
        <f>H168+H174+H180-H177</f>
        <v>60.5</v>
      </c>
      <c r="I181" s="90">
        <f>I168+I174+I180-I177</f>
        <v>32.6200000000008</v>
      </c>
      <c r="J181" s="90">
        <f t="shared" ref="J181:K181" si="52">J168+J174+J180-J177</f>
        <v>38.649999999999636</v>
      </c>
      <c r="K181" s="90">
        <f t="shared" si="52"/>
        <v>87.06000000000131</v>
      </c>
    </row>
    <row r="182" spans="1:11" ht="15.6" x14ac:dyDescent="0.3">
      <c r="A182" s="118" t="s">
        <v>278</v>
      </c>
      <c r="B182" s="112"/>
      <c r="C182" s="112"/>
      <c r="D182" s="112"/>
      <c r="E182" s="112"/>
      <c r="F182" s="112"/>
      <c r="G182" s="112"/>
      <c r="H182" s="112"/>
      <c r="I182" s="112"/>
      <c r="J182" s="112"/>
      <c r="K182" s="113"/>
    </row>
    <row r="183" spans="1:11" ht="15.6" x14ac:dyDescent="0.3">
      <c r="A183" s="114" t="s">
        <v>279</v>
      </c>
      <c r="B183" s="114"/>
      <c r="C183" s="92">
        <v>47</v>
      </c>
      <c r="D183" s="82">
        <f>D184+D185</f>
        <v>657.5</v>
      </c>
      <c r="E183" s="82">
        <f>E184+E185</f>
        <v>806.4</v>
      </c>
      <c r="F183" s="82">
        <f>F184+F185</f>
        <v>1557.6</v>
      </c>
      <c r="G183" s="82">
        <f t="shared" ref="G183:K183" si="53">G184+G185</f>
        <v>2235.8000000000002</v>
      </c>
      <c r="H183" s="82">
        <f>H184+H185</f>
        <v>521.20000000000005</v>
      </c>
      <c r="I183" s="82">
        <f t="shared" si="53"/>
        <v>529.20000000000005</v>
      </c>
      <c r="J183" s="82">
        <f t="shared" si="53"/>
        <v>604.20000000000005</v>
      </c>
      <c r="K183" s="82">
        <f t="shared" si="53"/>
        <v>581.20000000000005</v>
      </c>
    </row>
    <row r="184" spans="1:11" ht="15.6" x14ac:dyDescent="0.3">
      <c r="A184" s="122" t="s">
        <v>280</v>
      </c>
      <c r="B184" s="122"/>
      <c r="C184" s="69" t="s">
        <v>281</v>
      </c>
      <c r="D184" s="91">
        <v>335.9</v>
      </c>
      <c r="E184" s="91">
        <v>333.9</v>
      </c>
      <c r="F184" s="91">
        <v>1085.0999999999999</v>
      </c>
      <c r="G184" s="91">
        <f>H184+I184+J184+K184</f>
        <v>1559</v>
      </c>
      <c r="H184" s="91">
        <v>352</v>
      </c>
      <c r="I184" s="91">
        <v>360</v>
      </c>
      <c r="J184" s="91">
        <v>435</v>
      </c>
      <c r="K184" s="91">
        <v>412</v>
      </c>
    </row>
    <row r="185" spans="1:11" ht="15.6" x14ac:dyDescent="0.3">
      <c r="A185" s="122" t="s">
        <v>282</v>
      </c>
      <c r="B185" s="122"/>
      <c r="C185" s="69" t="s">
        <v>283</v>
      </c>
      <c r="D185" s="91">
        <v>321.60000000000002</v>
      </c>
      <c r="E185" s="91">
        <v>472.5</v>
      </c>
      <c r="F185" s="91">
        <f>F69</f>
        <v>472.5</v>
      </c>
      <c r="G185" s="91">
        <f>G69</f>
        <v>676.8</v>
      </c>
      <c r="H185" s="91">
        <f t="shared" ref="H185:K185" si="54">H69</f>
        <v>169.2</v>
      </c>
      <c r="I185" s="91">
        <f t="shared" si="54"/>
        <v>169.2</v>
      </c>
      <c r="J185" s="91">
        <f t="shared" si="54"/>
        <v>169.2</v>
      </c>
      <c r="K185" s="91">
        <f t="shared" si="54"/>
        <v>169.2</v>
      </c>
    </row>
    <row r="186" spans="1:11" ht="15.6" x14ac:dyDescent="0.3">
      <c r="A186" s="114" t="s">
        <v>284</v>
      </c>
      <c r="B186" s="114"/>
      <c r="C186" s="92">
        <v>48</v>
      </c>
      <c r="D186" s="82">
        <v>7120.8</v>
      </c>
      <c r="E186" s="82">
        <v>12633.6</v>
      </c>
      <c r="F186" s="82">
        <f>F57</f>
        <v>12601.7</v>
      </c>
      <c r="G186" s="82">
        <f>G57</f>
        <v>14189.96</v>
      </c>
      <c r="H186" s="82">
        <f t="shared" ref="G186:K188" si="55">H57</f>
        <v>3517.2</v>
      </c>
      <c r="I186" s="82">
        <f t="shared" si="55"/>
        <v>3549.6</v>
      </c>
      <c r="J186" s="82">
        <f t="shared" si="55"/>
        <v>3517.2</v>
      </c>
      <c r="K186" s="82">
        <f t="shared" si="55"/>
        <v>3605.96</v>
      </c>
    </row>
    <row r="187" spans="1:11" ht="15.6" x14ac:dyDescent="0.3">
      <c r="A187" s="114" t="s">
        <v>285</v>
      </c>
      <c r="B187" s="114"/>
      <c r="C187" s="92">
        <v>49</v>
      </c>
      <c r="D187" s="82">
        <v>1524.7</v>
      </c>
      <c r="E187" s="82">
        <v>2779.4</v>
      </c>
      <c r="F187" s="82">
        <f>F58</f>
        <v>2772.4</v>
      </c>
      <c r="G187" s="82">
        <f t="shared" si="55"/>
        <v>3121.78</v>
      </c>
      <c r="H187" s="82">
        <f t="shared" si="55"/>
        <v>773.78</v>
      </c>
      <c r="I187" s="82">
        <f t="shared" si="55"/>
        <v>780.91</v>
      </c>
      <c r="J187" s="82">
        <f t="shared" si="55"/>
        <v>773.78</v>
      </c>
      <c r="K187" s="82">
        <f t="shared" si="55"/>
        <v>793.31</v>
      </c>
    </row>
    <row r="188" spans="1:11" ht="15.6" x14ac:dyDescent="0.3">
      <c r="A188" s="114" t="s">
        <v>286</v>
      </c>
      <c r="B188" s="114"/>
      <c r="C188" s="92">
        <v>50</v>
      </c>
      <c r="D188" s="82">
        <v>8681.2999999999993</v>
      </c>
      <c r="E188" s="82">
        <v>4674.5</v>
      </c>
      <c r="F188" s="82">
        <f>F59</f>
        <v>10250</v>
      </c>
      <c r="G188" s="82">
        <f>G59</f>
        <v>5807.7400000000007</v>
      </c>
      <c r="H188" s="82">
        <f t="shared" si="55"/>
        <v>1034.4000000000001</v>
      </c>
      <c r="I188" s="82">
        <f t="shared" si="55"/>
        <v>1434.4</v>
      </c>
      <c r="J188" s="82">
        <f t="shared" si="55"/>
        <v>1834.4</v>
      </c>
      <c r="K188" s="82">
        <f t="shared" si="55"/>
        <v>1504.54</v>
      </c>
    </row>
    <row r="189" spans="1:11" ht="15.6" x14ac:dyDescent="0.3">
      <c r="A189" s="114" t="s">
        <v>287</v>
      </c>
      <c r="B189" s="114"/>
      <c r="C189" s="92">
        <v>51</v>
      </c>
      <c r="D189" s="82">
        <v>6766.7</v>
      </c>
      <c r="E189" s="82">
        <v>5062.7</v>
      </c>
      <c r="F189" s="82">
        <v>11702.4</v>
      </c>
      <c r="G189" s="82">
        <f>H189+I189+J189+K189</f>
        <v>0</v>
      </c>
      <c r="H189" s="82"/>
      <c r="I189" s="82"/>
      <c r="J189" s="82"/>
      <c r="K189" s="82"/>
    </row>
    <row r="190" spans="1:11" ht="15.6" x14ac:dyDescent="0.3">
      <c r="A190" s="109" t="s">
        <v>288</v>
      </c>
      <c r="B190" s="109"/>
      <c r="C190" s="93">
        <v>52</v>
      </c>
      <c r="D190" s="83">
        <f>D183+D186+D187+D188+D189-0.1</f>
        <v>24750.9</v>
      </c>
      <c r="E190" s="83">
        <f t="shared" ref="E190:K190" si="56">SUM(E186:E189)+E183</f>
        <v>25956.600000000002</v>
      </c>
      <c r="F190" s="83">
        <f t="shared" si="56"/>
        <v>38884.1</v>
      </c>
      <c r="G190" s="83">
        <f>SUM(G186:G189)+G183</f>
        <v>25355.279999999999</v>
      </c>
      <c r="H190" s="83">
        <f>SUM(H186:H189)+H183</f>
        <v>5846.579999999999</v>
      </c>
      <c r="I190" s="83">
        <f t="shared" si="56"/>
        <v>6294.11</v>
      </c>
      <c r="J190" s="83">
        <f t="shared" si="56"/>
        <v>6729.579999999999</v>
      </c>
      <c r="K190" s="83">
        <f t="shared" si="56"/>
        <v>6485.01</v>
      </c>
    </row>
    <row r="191" spans="1:11" ht="15.6" x14ac:dyDescent="0.3">
      <c r="A191" s="118" t="s">
        <v>289</v>
      </c>
      <c r="B191" s="112"/>
      <c r="C191" s="112"/>
      <c r="D191" s="112"/>
      <c r="E191" s="112"/>
      <c r="F191" s="112"/>
      <c r="G191" s="112"/>
      <c r="H191" s="112"/>
      <c r="I191" s="112"/>
      <c r="J191" s="112"/>
      <c r="K191" s="113"/>
    </row>
    <row r="192" spans="1:11" ht="22.5" customHeight="1" x14ac:dyDescent="0.3">
      <c r="A192" s="109" t="s">
        <v>449</v>
      </c>
      <c r="B192" s="109"/>
      <c r="C192" s="93">
        <v>53</v>
      </c>
      <c r="D192" s="83">
        <f>SUM(D193:D199)</f>
        <v>27826.200000000004</v>
      </c>
      <c r="E192" s="83">
        <f>SUM(E193:E199)</f>
        <v>10179.1</v>
      </c>
      <c r="F192" s="83">
        <f t="shared" ref="F192:K192" si="57">SUM(F193:F199)</f>
        <v>22002.1</v>
      </c>
      <c r="G192" s="83">
        <f t="shared" si="57"/>
        <v>7835</v>
      </c>
      <c r="H192" s="83">
        <f t="shared" si="57"/>
        <v>1150</v>
      </c>
      <c r="I192" s="83">
        <f t="shared" si="57"/>
        <v>2661</v>
      </c>
      <c r="J192" s="83">
        <f t="shared" si="57"/>
        <v>1100</v>
      </c>
      <c r="K192" s="83">
        <f t="shared" si="57"/>
        <v>2924</v>
      </c>
    </row>
    <row r="193" spans="1:11" ht="15.6" x14ac:dyDescent="0.3">
      <c r="A193" s="114" t="s">
        <v>291</v>
      </c>
      <c r="B193" s="114"/>
      <c r="C193" s="60" t="s">
        <v>292</v>
      </c>
      <c r="D193" s="82">
        <v>3615.8</v>
      </c>
      <c r="E193" s="82">
        <v>0</v>
      </c>
      <c r="F193" s="82"/>
      <c r="G193" s="82">
        <f>H193+I193+K193</f>
        <v>911</v>
      </c>
      <c r="H193" s="82">
        <v>0</v>
      </c>
      <c r="I193" s="82">
        <v>911</v>
      </c>
      <c r="J193" s="82">
        <v>0</v>
      </c>
      <c r="K193" s="80">
        <v>0</v>
      </c>
    </row>
    <row r="194" spans="1:11" ht="15.6" x14ac:dyDescent="0.3">
      <c r="A194" s="114" t="s">
        <v>293</v>
      </c>
      <c r="B194" s="114"/>
      <c r="C194" s="60" t="s">
        <v>294</v>
      </c>
      <c r="D194" s="82">
        <v>6332.1</v>
      </c>
      <c r="E194" s="82"/>
      <c r="F194" s="82">
        <v>2970</v>
      </c>
      <c r="G194" s="82">
        <f>H194+I194+J194+K194</f>
        <v>1989</v>
      </c>
      <c r="H194" s="82">
        <v>0</v>
      </c>
      <c r="I194" s="82">
        <v>490</v>
      </c>
      <c r="J194" s="82">
        <v>0</v>
      </c>
      <c r="K194" s="80">
        <v>1499</v>
      </c>
    </row>
    <row r="195" spans="1:11" ht="15.6" x14ac:dyDescent="0.3">
      <c r="A195" s="114" t="s">
        <v>295</v>
      </c>
      <c r="B195" s="114"/>
      <c r="C195" s="60" t="s">
        <v>296</v>
      </c>
      <c r="D195" s="82">
        <v>1314.6</v>
      </c>
      <c r="E195" s="82"/>
      <c r="F195" s="82"/>
      <c r="G195" s="82">
        <f>H195+I195+J195+K195</f>
        <v>4935</v>
      </c>
      <c r="H195" s="82">
        <v>1150</v>
      </c>
      <c r="I195" s="82">
        <v>1260</v>
      </c>
      <c r="J195" s="82">
        <v>1100</v>
      </c>
      <c r="K195" s="80">
        <v>1425</v>
      </c>
    </row>
    <row r="196" spans="1:11" ht="15.6" x14ac:dyDescent="0.3">
      <c r="A196" s="114" t="s">
        <v>297</v>
      </c>
      <c r="B196" s="114"/>
      <c r="C196" s="60" t="s">
        <v>298</v>
      </c>
      <c r="D196" s="82"/>
      <c r="E196" s="82">
        <v>1225.5</v>
      </c>
      <c r="F196" s="82">
        <v>5922.5</v>
      </c>
      <c r="G196" s="82">
        <f>H196+I196+J196+K196</f>
        <v>0</v>
      </c>
      <c r="H196" s="82"/>
      <c r="I196" s="82"/>
      <c r="J196" s="82"/>
      <c r="K196" s="80"/>
    </row>
    <row r="197" spans="1:11" ht="31.5" customHeight="1" x14ac:dyDescent="0.3">
      <c r="A197" s="114" t="s">
        <v>299</v>
      </c>
      <c r="B197" s="114"/>
      <c r="C197" s="60" t="s">
        <v>300</v>
      </c>
      <c r="D197" s="82">
        <v>0</v>
      </c>
      <c r="E197" s="82">
        <v>8953.6</v>
      </c>
      <c r="F197" s="82">
        <v>8953.6</v>
      </c>
      <c r="G197" s="82">
        <f>H197+I197+J197+K197</f>
        <v>0</v>
      </c>
      <c r="H197" s="82">
        <v>0</v>
      </c>
      <c r="I197" s="82">
        <v>0</v>
      </c>
      <c r="J197" s="82">
        <v>0</v>
      </c>
      <c r="K197" s="80">
        <v>0</v>
      </c>
    </row>
    <row r="198" spans="1:11" ht="15.6" x14ac:dyDescent="0.3">
      <c r="A198" s="114" t="s">
        <v>301</v>
      </c>
      <c r="B198" s="114"/>
      <c r="C198" s="60" t="s">
        <v>302</v>
      </c>
      <c r="D198" s="82"/>
      <c r="E198" s="82"/>
      <c r="F198" s="82"/>
      <c r="G198" s="82"/>
      <c r="H198" s="82"/>
      <c r="I198" s="82"/>
      <c r="J198" s="82"/>
      <c r="K198" s="80"/>
    </row>
    <row r="199" spans="1:11" ht="15.6" x14ac:dyDescent="0.3">
      <c r="A199" s="114" t="s">
        <v>303</v>
      </c>
      <c r="B199" s="114"/>
      <c r="C199" s="60" t="s">
        <v>304</v>
      </c>
      <c r="D199" s="82">
        <v>16563.7</v>
      </c>
      <c r="E199" s="82"/>
      <c r="F199" s="82">
        <v>4156</v>
      </c>
      <c r="G199" s="82">
        <v>0</v>
      </c>
      <c r="H199" s="82">
        <v>0</v>
      </c>
      <c r="I199" s="82">
        <v>0</v>
      </c>
      <c r="J199" s="82">
        <v>0</v>
      </c>
      <c r="K199" s="80">
        <v>0</v>
      </c>
    </row>
    <row r="200" spans="1:11" ht="15.6" x14ac:dyDescent="0.3">
      <c r="A200" s="109" t="s">
        <v>305</v>
      </c>
      <c r="B200" s="109"/>
      <c r="C200" s="93">
        <v>54</v>
      </c>
      <c r="D200" s="83">
        <f>SUM(D201:D204)</f>
        <v>27826.200000000004</v>
      </c>
      <c r="E200" s="83">
        <f t="shared" ref="E200:K200" si="58">SUM(E201:E204)</f>
        <v>10179.1</v>
      </c>
      <c r="F200" s="83">
        <f t="shared" si="58"/>
        <v>22002.1</v>
      </c>
      <c r="G200" s="83">
        <f t="shared" si="58"/>
        <v>7835</v>
      </c>
      <c r="H200" s="83">
        <f t="shared" si="58"/>
        <v>1150</v>
      </c>
      <c r="I200" s="83">
        <f t="shared" si="58"/>
        <v>2661</v>
      </c>
      <c r="J200" s="83">
        <f t="shared" si="58"/>
        <v>1100</v>
      </c>
      <c r="K200" s="83">
        <f t="shared" si="58"/>
        <v>2924</v>
      </c>
    </row>
    <row r="201" spans="1:11" ht="15.6" x14ac:dyDescent="0.3">
      <c r="A201" s="114" t="s">
        <v>306</v>
      </c>
      <c r="B201" s="114"/>
      <c r="C201" s="60" t="s">
        <v>307</v>
      </c>
      <c r="D201" s="82"/>
      <c r="E201" s="82"/>
      <c r="F201" s="82"/>
      <c r="G201" s="82"/>
      <c r="H201" s="82"/>
      <c r="I201" s="82"/>
      <c r="J201" s="82"/>
      <c r="K201" s="80"/>
    </row>
    <row r="202" spans="1:11" ht="15.6" x14ac:dyDescent="0.3">
      <c r="A202" s="114" t="s">
        <v>308</v>
      </c>
      <c r="B202" s="114"/>
      <c r="C202" s="60" t="s">
        <v>309</v>
      </c>
      <c r="D202" s="82">
        <f>D192</f>
        <v>27826.200000000004</v>
      </c>
      <c r="E202" s="82">
        <f>E192</f>
        <v>10179.1</v>
      </c>
      <c r="F202" s="82">
        <f>F192</f>
        <v>22002.1</v>
      </c>
      <c r="G202" s="82">
        <f>H202+I202+J202+K202</f>
        <v>7835</v>
      </c>
      <c r="H202" s="82">
        <f>H192</f>
        <v>1150</v>
      </c>
      <c r="I202" s="82">
        <f t="shared" ref="I202:K202" si="59">I192</f>
        <v>2661</v>
      </c>
      <c r="J202" s="82">
        <f t="shared" si="59"/>
        <v>1100</v>
      </c>
      <c r="K202" s="82">
        <f t="shared" si="59"/>
        <v>2924</v>
      </c>
    </row>
    <row r="203" spans="1:11" ht="15.6" x14ac:dyDescent="0.3">
      <c r="A203" s="114" t="s">
        <v>310</v>
      </c>
      <c r="B203" s="114"/>
      <c r="C203" s="60" t="s">
        <v>311</v>
      </c>
      <c r="D203" s="82"/>
      <c r="E203" s="82"/>
      <c r="F203" s="82"/>
      <c r="G203" s="82"/>
      <c r="H203" s="82"/>
      <c r="I203" s="82"/>
      <c r="J203" s="82"/>
      <c r="K203" s="80"/>
    </row>
    <row r="204" spans="1:11" ht="15.6" x14ac:dyDescent="0.3">
      <c r="A204" s="114" t="s">
        <v>312</v>
      </c>
      <c r="B204" s="114"/>
      <c r="C204" s="60" t="s">
        <v>313</v>
      </c>
      <c r="D204" s="82"/>
      <c r="E204" s="82"/>
      <c r="F204" s="82"/>
      <c r="G204" s="82"/>
      <c r="H204" s="82"/>
      <c r="I204" s="82"/>
      <c r="J204" s="82"/>
      <c r="K204" s="80"/>
    </row>
    <row r="205" spans="1:11" ht="15.6" x14ac:dyDescent="0.3">
      <c r="A205" s="118" t="s">
        <v>314</v>
      </c>
      <c r="B205" s="112"/>
      <c r="C205" s="112"/>
      <c r="D205" s="112"/>
      <c r="E205" s="112"/>
      <c r="F205" s="112"/>
      <c r="G205" s="112"/>
      <c r="H205" s="112"/>
      <c r="I205" s="112"/>
      <c r="J205" s="112"/>
      <c r="K205" s="113"/>
    </row>
    <row r="206" spans="1:11" ht="15.6" x14ac:dyDescent="0.3">
      <c r="A206" s="109" t="s">
        <v>315</v>
      </c>
      <c r="B206" s="109"/>
      <c r="C206" s="93">
        <v>55</v>
      </c>
      <c r="D206" s="83">
        <v>65700.100000000006</v>
      </c>
      <c r="E206" s="83">
        <v>59000</v>
      </c>
      <c r="F206" s="83">
        <f>F207+15898.6</f>
        <v>135052.1</v>
      </c>
      <c r="G206" s="83">
        <f>K206</f>
        <v>142609</v>
      </c>
      <c r="H206" s="83">
        <f>H207+20000</f>
        <v>130399</v>
      </c>
      <c r="I206" s="83">
        <f>H206</f>
        <v>130399</v>
      </c>
      <c r="J206" s="83">
        <f>J207+28000</f>
        <v>132609</v>
      </c>
      <c r="K206" s="83">
        <f>J206+10000</f>
        <v>142609</v>
      </c>
    </row>
    <row r="207" spans="1:11" ht="15.6" x14ac:dyDescent="0.3">
      <c r="A207" s="109" t="s">
        <v>316</v>
      </c>
      <c r="B207" s="109"/>
      <c r="C207" s="93">
        <v>56</v>
      </c>
      <c r="D207" s="83">
        <f>D208-D209</f>
        <v>64221.3</v>
      </c>
      <c r="E207" s="83">
        <f>E208-E209</f>
        <v>65111.399999999994</v>
      </c>
      <c r="F207" s="83">
        <f t="shared" ref="F207:J207" si="60">F208-F209</f>
        <v>119153.5</v>
      </c>
      <c r="G207" s="83">
        <f t="shared" si="60"/>
        <v>102753</v>
      </c>
      <c r="H207" s="83">
        <f t="shared" si="60"/>
        <v>110399</v>
      </c>
      <c r="I207" s="83">
        <f t="shared" si="60"/>
        <v>107689</v>
      </c>
      <c r="J207" s="83">
        <f t="shared" si="60"/>
        <v>104609</v>
      </c>
      <c r="K207" s="83">
        <f>K208-K209</f>
        <v>102753</v>
      </c>
    </row>
    <row r="208" spans="1:11" ht="15.6" x14ac:dyDescent="0.3">
      <c r="A208" s="114" t="s">
        <v>317</v>
      </c>
      <c r="B208" s="114"/>
      <c r="C208" s="60" t="s">
        <v>318</v>
      </c>
      <c r="D208" s="82">
        <v>86934</v>
      </c>
      <c r="E208" s="82">
        <v>86411.4</v>
      </c>
      <c r="F208" s="82">
        <v>136019</v>
      </c>
      <c r="G208" s="82">
        <f>K208</f>
        <v>136509</v>
      </c>
      <c r="H208" s="82">
        <f>F208+H194+H199</f>
        <v>136019</v>
      </c>
      <c r="I208" s="82">
        <f>H208+I194+I197</f>
        <v>136509</v>
      </c>
      <c r="J208" s="82">
        <f>I208+J194</f>
        <v>136509</v>
      </c>
      <c r="K208" s="80">
        <f>J208</f>
        <v>136509</v>
      </c>
    </row>
    <row r="209" spans="1:11" ht="15.6" x14ac:dyDescent="0.3">
      <c r="A209" s="114" t="s">
        <v>319</v>
      </c>
      <c r="B209" s="114"/>
      <c r="C209" s="60" t="s">
        <v>320</v>
      </c>
      <c r="D209" s="82">
        <v>22712.7</v>
      </c>
      <c r="E209" s="82">
        <v>21300</v>
      </c>
      <c r="F209" s="82">
        <v>16865.5</v>
      </c>
      <c r="G209" s="82">
        <f>K209</f>
        <v>33756</v>
      </c>
      <c r="H209" s="82">
        <v>25620</v>
      </c>
      <c r="I209" s="82">
        <v>28820</v>
      </c>
      <c r="J209" s="82">
        <v>31900</v>
      </c>
      <c r="K209" s="80">
        <v>33756</v>
      </c>
    </row>
    <row r="210" spans="1:11" ht="15.6" x14ac:dyDescent="0.3">
      <c r="A210" s="114" t="s">
        <v>321</v>
      </c>
      <c r="B210" s="114"/>
      <c r="C210" s="60" t="s">
        <v>322</v>
      </c>
      <c r="D210" s="82"/>
      <c r="E210" s="82"/>
      <c r="F210" s="82"/>
      <c r="G210" s="82"/>
      <c r="H210" s="82"/>
      <c r="I210" s="82"/>
      <c r="J210" s="82"/>
      <c r="K210" s="80"/>
    </row>
    <row r="211" spans="1:11" ht="15.6" x14ac:dyDescent="0.3">
      <c r="A211" s="114" t="s">
        <v>323</v>
      </c>
      <c r="B211" s="114"/>
      <c r="C211" s="60" t="s">
        <v>324</v>
      </c>
      <c r="D211" s="82"/>
      <c r="E211" s="82"/>
      <c r="F211" s="82"/>
      <c r="G211" s="82"/>
      <c r="H211" s="82"/>
      <c r="I211" s="82"/>
      <c r="J211" s="82"/>
      <c r="K211" s="80"/>
    </row>
    <row r="212" spans="1:11" ht="15.6" x14ac:dyDescent="0.3">
      <c r="A212" s="114" t="s">
        <v>325</v>
      </c>
      <c r="B212" s="114"/>
      <c r="C212" s="60" t="s">
        <v>326</v>
      </c>
      <c r="D212" s="82"/>
      <c r="E212" s="82"/>
      <c r="F212" s="82"/>
      <c r="G212" s="82"/>
      <c r="H212" s="82"/>
      <c r="I212" s="82"/>
      <c r="J212" s="82"/>
      <c r="K212" s="80"/>
    </row>
    <row r="213" spans="1:11" ht="15.6" x14ac:dyDescent="0.3">
      <c r="A213" s="114" t="s">
        <v>327</v>
      </c>
      <c r="B213" s="114"/>
      <c r="C213" s="60" t="s">
        <v>328</v>
      </c>
      <c r="D213" s="82"/>
      <c r="E213" s="82"/>
      <c r="F213" s="82"/>
      <c r="G213" s="82"/>
      <c r="H213" s="82"/>
      <c r="I213" s="82"/>
      <c r="J213" s="82"/>
      <c r="K213" s="80"/>
    </row>
    <row r="214" spans="1:11" ht="15.6" x14ac:dyDescent="0.3">
      <c r="A214" s="109" t="s">
        <v>329</v>
      </c>
      <c r="B214" s="109"/>
      <c r="C214" s="60">
        <v>57</v>
      </c>
      <c r="D214" s="83">
        <v>1161.3</v>
      </c>
      <c r="E214" s="83">
        <v>690</v>
      </c>
      <c r="F214" s="83">
        <v>1166</v>
      </c>
      <c r="G214" s="83">
        <f>K214</f>
        <v>725</v>
      </c>
      <c r="H214" s="83">
        <v>625</v>
      </c>
      <c r="I214" s="83">
        <v>725</v>
      </c>
      <c r="J214" s="83">
        <v>600</v>
      </c>
      <c r="K214" s="78">
        <v>725</v>
      </c>
    </row>
    <row r="215" spans="1:11" ht="15.6" x14ac:dyDescent="0.3">
      <c r="A215" s="114" t="s">
        <v>330</v>
      </c>
      <c r="B215" s="114"/>
      <c r="C215" s="60" t="s">
        <v>331</v>
      </c>
      <c r="D215" s="82">
        <v>78.3</v>
      </c>
      <c r="E215" s="82">
        <f t="shared" ref="E215:K215" si="61">E181</f>
        <v>29.9</v>
      </c>
      <c r="F215" s="82">
        <v>29.9</v>
      </c>
      <c r="G215" s="82">
        <f t="shared" si="61"/>
        <v>184.69999999999709</v>
      </c>
      <c r="H215" s="82">
        <f t="shared" si="61"/>
        <v>60.5</v>
      </c>
      <c r="I215" s="82">
        <f t="shared" si="61"/>
        <v>32.6200000000008</v>
      </c>
      <c r="J215" s="82">
        <f t="shared" si="61"/>
        <v>38.649999999999636</v>
      </c>
      <c r="K215" s="82">
        <f t="shared" si="61"/>
        <v>87.06000000000131</v>
      </c>
    </row>
    <row r="216" spans="1:11" ht="15.6" x14ac:dyDescent="0.3">
      <c r="A216" s="109" t="s">
        <v>332</v>
      </c>
      <c r="B216" s="109"/>
      <c r="C216" s="67">
        <v>58</v>
      </c>
      <c r="D216" s="83">
        <v>66861.399999999994</v>
      </c>
      <c r="E216" s="83">
        <v>59690</v>
      </c>
      <c r="F216" s="83">
        <f>F214+F206</f>
        <v>136218.1</v>
      </c>
      <c r="G216" s="83">
        <f>K216</f>
        <v>143334</v>
      </c>
      <c r="H216" s="83">
        <f>H214+H206</f>
        <v>131024</v>
      </c>
      <c r="I216" s="83">
        <f t="shared" ref="I216:K216" si="62">I214+I206</f>
        <v>131124</v>
      </c>
      <c r="J216" s="83">
        <f t="shared" si="62"/>
        <v>133209</v>
      </c>
      <c r="K216" s="83">
        <f t="shared" si="62"/>
        <v>143334</v>
      </c>
    </row>
    <row r="217" spans="1:11" ht="15.6" x14ac:dyDescent="0.3">
      <c r="A217" s="109" t="s">
        <v>333</v>
      </c>
      <c r="B217" s="109"/>
      <c r="C217" s="67">
        <v>59</v>
      </c>
      <c r="D217" s="83">
        <v>27036.5</v>
      </c>
      <c r="E217" s="83">
        <v>31720.5</v>
      </c>
      <c r="F217" s="83">
        <v>77020.100000000006</v>
      </c>
      <c r="G217" s="83">
        <f>K217</f>
        <v>31720.5</v>
      </c>
      <c r="H217" s="83">
        <v>31526.400000000001</v>
      </c>
      <c r="I217" s="83">
        <v>31526.400000000001</v>
      </c>
      <c r="J217" s="83">
        <v>31526.400000000001</v>
      </c>
      <c r="K217" s="78">
        <v>31720.5</v>
      </c>
    </row>
    <row r="218" spans="1:11" ht="15.6" x14ac:dyDescent="0.3">
      <c r="A218" s="109" t="s">
        <v>334</v>
      </c>
      <c r="B218" s="109"/>
      <c r="C218" s="67">
        <v>60</v>
      </c>
      <c r="D218" s="83"/>
      <c r="E218" s="83"/>
      <c r="F218" s="83"/>
      <c r="G218" s="83"/>
      <c r="H218" s="83"/>
      <c r="I218" s="83"/>
      <c r="J218" s="83"/>
      <c r="K218" s="78"/>
    </row>
    <row r="219" spans="1:11" ht="15.6" x14ac:dyDescent="0.3">
      <c r="A219" s="109" t="s">
        <v>335</v>
      </c>
      <c r="B219" s="109"/>
      <c r="C219" s="67">
        <v>61</v>
      </c>
      <c r="D219" s="83"/>
      <c r="E219" s="83"/>
      <c r="F219" s="83"/>
      <c r="G219" s="83"/>
      <c r="H219" s="83"/>
      <c r="I219" s="83"/>
      <c r="J219" s="83"/>
      <c r="K219" s="78"/>
    </row>
    <row r="220" spans="1:11" ht="15.6" x14ac:dyDescent="0.3">
      <c r="A220" s="118" t="s">
        <v>336</v>
      </c>
      <c r="B220" s="112"/>
      <c r="C220" s="112"/>
      <c r="D220" s="112"/>
      <c r="E220" s="112"/>
      <c r="F220" s="112"/>
      <c r="G220" s="112"/>
      <c r="H220" s="112"/>
      <c r="I220" s="112"/>
      <c r="J220" s="112"/>
      <c r="K220" s="113"/>
    </row>
    <row r="221" spans="1:11" ht="15.6" x14ac:dyDescent="0.3">
      <c r="A221" s="109" t="s">
        <v>337</v>
      </c>
      <c r="B221" s="109"/>
      <c r="C221" s="93">
        <v>62</v>
      </c>
      <c r="D221" s="93">
        <f>SUM(D222:D224)</f>
        <v>0</v>
      </c>
      <c r="E221" s="93">
        <f t="shared" ref="E221:K221" si="63">SUM(E222:E224)</f>
        <v>0</v>
      </c>
      <c r="F221" s="93">
        <f t="shared" si="63"/>
        <v>0</v>
      </c>
      <c r="G221" s="93">
        <f t="shared" si="63"/>
        <v>0</v>
      </c>
      <c r="H221" s="93">
        <f t="shared" si="63"/>
        <v>0</v>
      </c>
      <c r="I221" s="93">
        <f t="shared" si="63"/>
        <v>0</v>
      </c>
      <c r="J221" s="93">
        <f t="shared" si="63"/>
        <v>0</v>
      </c>
      <c r="K221" s="93">
        <f t="shared" si="63"/>
        <v>0</v>
      </c>
    </row>
    <row r="222" spans="1:11" ht="15.6" x14ac:dyDescent="0.3">
      <c r="A222" s="114" t="s">
        <v>338</v>
      </c>
      <c r="B222" s="114"/>
      <c r="C222" s="60" t="s">
        <v>339</v>
      </c>
      <c r="D222" s="92"/>
      <c r="E222" s="92"/>
      <c r="F222" s="92"/>
      <c r="G222" s="92"/>
      <c r="H222" s="92"/>
      <c r="I222" s="92"/>
      <c r="J222" s="92"/>
      <c r="K222" s="62"/>
    </row>
    <row r="223" spans="1:11" ht="15.6" x14ac:dyDescent="0.3">
      <c r="A223" s="114" t="s">
        <v>340</v>
      </c>
      <c r="B223" s="114"/>
      <c r="C223" s="60" t="s">
        <v>341</v>
      </c>
      <c r="D223" s="92"/>
      <c r="E223" s="92"/>
      <c r="F223" s="92"/>
      <c r="G223" s="92"/>
      <c r="H223" s="92"/>
      <c r="I223" s="92"/>
      <c r="J223" s="92"/>
      <c r="K223" s="62"/>
    </row>
    <row r="224" spans="1:11" ht="15.6" x14ac:dyDescent="0.3">
      <c r="A224" s="114" t="s">
        <v>342</v>
      </c>
      <c r="B224" s="114"/>
      <c r="C224" s="60" t="s">
        <v>343</v>
      </c>
      <c r="D224" s="92"/>
      <c r="E224" s="92"/>
      <c r="F224" s="92"/>
      <c r="G224" s="92"/>
      <c r="H224" s="92"/>
      <c r="I224" s="92"/>
      <c r="J224" s="92"/>
      <c r="K224" s="62"/>
    </row>
    <row r="225" spans="1:11" ht="15.6" x14ac:dyDescent="0.3">
      <c r="A225" s="109" t="s">
        <v>344</v>
      </c>
      <c r="B225" s="109"/>
      <c r="C225" s="93">
        <v>63</v>
      </c>
      <c r="D225" s="93">
        <f>D226+D229+D232</f>
        <v>0</v>
      </c>
      <c r="E225" s="93">
        <f t="shared" ref="E225:K225" si="64">E226+E229+E232</f>
        <v>0</v>
      </c>
      <c r="F225" s="93">
        <f t="shared" si="64"/>
        <v>0</v>
      </c>
      <c r="G225" s="93">
        <f t="shared" si="64"/>
        <v>0</v>
      </c>
      <c r="H225" s="93">
        <f t="shared" si="64"/>
        <v>0</v>
      </c>
      <c r="I225" s="93">
        <f t="shared" si="64"/>
        <v>0</v>
      </c>
      <c r="J225" s="93">
        <f t="shared" si="64"/>
        <v>0</v>
      </c>
      <c r="K225" s="93">
        <f t="shared" si="64"/>
        <v>0</v>
      </c>
    </row>
    <row r="226" spans="1:11" ht="16.2" x14ac:dyDescent="0.3">
      <c r="A226" s="119" t="s">
        <v>345</v>
      </c>
      <c r="B226" s="119"/>
      <c r="C226" s="64" t="s">
        <v>346</v>
      </c>
      <c r="D226" s="94">
        <f>SUM(D227:D228)</f>
        <v>0</v>
      </c>
      <c r="E226" s="94">
        <f t="shared" ref="E226:K226" si="65">SUM(E227:E228)</f>
        <v>0</v>
      </c>
      <c r="F226" s="94">
        <f t="shared" si="65"/>
        <v>0</v>
      </c>
      <c r="G226" s="94">
        <f t="shared" si="65"/>
        <v>0</v>
      </c>
      <c r="H226" s="94">
        <f t="shared" si="65"/>
        <v>0</v>
      </c>
      <c r="I226" s="94">
        <f t="shared" si="65"/>
        <v>0</v>
      </c>
      <c r="J226" s="94">
        <f t="shared" si="65"/>
        <v>0</v>
      </c>
      <c r="K226" s="94">
        <f t="shared" si="65"/>
        <v>0</v>
      </c>
    </row>
    <row r="227" spans="1:11" ht="15.6" x14ac:dyDescent="0.3">
      <c r="A227" s="114" t="s">
        <v>272</v>
      </c>
      <c r="B227" s="114"/>
      <c r="C227" s="60" t="s">
        <v>347</v>
      </c>
      <c r="D227" s="92"/>
      <c r="E227" s="92"/>
      <c r="F227" s="92"/>
      <c r="G227" s="92"/>
      <c r="H227" s="92"/>
      <c r="I227" s="92"/>
      <c r="J227" s="92"/>
      <c r="K227" s="62"/>
    </row>
    <row r="228" spans="1:11" ht="15.6" x14ac:dyDescent="0.3">
      <c r="A228" s="114" t="s">
        <v>274</v>
      </c>
      <c r="B228" s="114"/>
      <c r="C228" s="60" t="s">
        <v>348</v>
      </c>
      <c r="D228" s="92"/>
      <c r="E228" s="92"/>
      <c r="F228" s="92"/>
      <c r="G228" s="92"/>
      <c r="H228" s="92"/>
      <c r="I228" s="92"/>
      <c r="J228" s="92"/>
      <c r="K228" s="62"/>
    </row>
    <row r="229" spans="1:11" ht="16.2" x14ac:dyDescent="0.3">
      <c r="A229" s="119" t="s">
        <v>349</v>
      </c>
      <c r="B229" s="119"/>
      <c r="C229" s="64" t="s">
        <v>350</v>
      </c>
      <c r="D229" s="94">
        <f>SUM(D230:D231)</f>
        <v>0</v>
      </c>
      <c r="E229" s="94">
        <f>SUM(E230:E231)</f>
        <v>0</v>
      </c>
      <c r="F229" s="94">
        <f t="shared" ref="F229:K229" si="66">SUM(F230:F231)</f>
        <v>0</v>
      </c>
      <c r="G229" s="94">
        <f t="shared" si="66"/>
        <v>0</v>
      </c>
      <c r="H229" s="94">
        <f t="shared" si="66"/>
        <v>0</v>
      </c>
      <c r="I229" s="94">
        <f t="shared" si="66"/>
        <v>0</v>
      </c>
      <c r="J229" s="94">
        <f t="shared" si="66"/>
        <v>0</v>
      </c>
      <c r="K229" s="94">
        <f t="shared" si="66"/>
        <v>0</v>
      </c>
    </row>
    <row r="230" spans="1:11" ht="15.6" x14ac:dyDescent="0.3">
      <c r="A230" s="114" t="s">
        <v>272</v>
      </c>
      <c r="B230" s="114"/>
      <c r="C230" s="60" t="s">
        <v>351</v>
      </c>
      <c r="D230" s="92"/>
      <c r="E230" s="92"/>
      <c r="F230" s="92"/>
      <c r="G230" s="92"/>
      <c r="H230" s="92"/>
      <c r="I230" s="92"/>
      <c r="J230" s="92"/>
      <c r="K230" s="62"/>
    </row>
    <row r="231" spans="1:11" ht="15.6" x14ac:dyDescent="0.3">
      <c r="A231" s="114" t="s">
        <v>274</v>
      </c>
      <c r="B231" s="114"/>
      <c r="C231" s="60" t="s">
        <v>352</v>
      </c>
      <c r="D231" s="92"/>
      <c r="E231" s="92"/>
      <c r="F231" s="92"/>
      <c r="G231" s="92"/>
      <c r="H231" s="92"/>
      <c r="I231" s="62"/>
      <c r="J231" s="62"/>
      <c r="K231" s="62"/>
    </row>
    <row r="232" spans="1:11" ht="16.2" x14ac:dyDescent="0.3">
      <c r="A232" s="119" t="s">
        <v>353</v>
      </c>
      <c r="B232" s="119"/>
      <c r="C232" s="64" t="s">
        <v>354</v>
      </c>
      <c r="D232" s="94">
        <f>SUM(D233:D234)</f>
        <v>0</v>
      </c>
      <c r="E232" s="94">
        <f t="shared" ref="E232:K232" si="67">SUM(E233:E234)</f>
        <v>0</v>
      </c>
      <c r="F232" s="94">
        <f t="shared" si="67"/>
        <v>0</v>
      </c>
      <c r="G232" s="94">
        <f t="shared" si="67"/>
        <v>0</v>
      </c>
      <c r="H232" s="94">
        <f t="shared" si="67"/>
        <v>0</v>
      </c>
      <c r="I232" s="94">
        <f t="shared" si="67"/>
        <v>0</v>
      </c>
      <c r="J232" s="94">
        <f t="shared" si="67"/>
        <v>0</v>
      </c>
      <c r="K232" s="94">
        <f t="shared" si="67"/>
        <v>0</v>
      </c>
    </row>
    <row r="233" spans="1:11" ht="15.6" x14ac:dyDescent="0.3">
      <c r="A233" s="114" t="s">
        <v>272</v>
      </c>
      <c r="B233" s="114"/>
      <c r="C233" s="60" t="s">
        <v>355</v>
      </c>
      <c r="D233" s="62"/>
      <c r="E233" s="62"/>
      <c r="F233" s="62"/>
      <c r="G233" s="62"/>
      <c r="H233" s="62"/>
      <c r="I233" s="62"/>
      <c r="J233" s="62"/>
      <c r="K233" s="62"/>
    </row>
    <row r="234" spans="1:11" ht="15.6" x14ac:dyDescent="0.3">
      <c r="A234" s="114" t="s">
        <v>274</v>
      </c>
      <c r="B234" s="114"/>
      <c r="C234" s="60" t="s">
        <v>356</v>
      </c>
      <c r="D234" s="62"/>
      <c r="E234" s="62"/>
      <c r="F234" s="62"/>
      <c r="G234" s="62"/>
      <c r="H234" s="62"/>
      <c r="I234" s="62"/>
      <c r="J234" s="62"/>
      <c r="K234" s="62"/>
    </row>
    <row r="235" spans="1:11" ht="15.6" x14ac:dyDescent="0.3">
      <c r="A235" s="109" t="s">
        <v>357</v>
      </c>
      <c r="B235" s="109"/>
      <c r="C235" s="93">
        <v>64</v>
      </c>
      <c r="D235" s="71">
        <f>SUM(D236:D238)</f>
        <v>0</v>
      </c>
      <c r="E235" s="71">
        <f t="shared" ref="E235:K235" si="68">SUM(E236:E238)</f>
        <v>0</v>
      </c>
      <c r="F235" s="71">
        <f t="shared" si="68"/>
        <v>0</v>
      </c>
      <c r="G235" s="71">
        <f t="shared" si="68"/>
        <v>0</v>
      </c>
      <c r="H235" s="71">
        <f t="shared" si="68"/>
        <v>0</v>
      </c>
      <c r="I235" s="71">
        <f t="shared" si="68"/>
        <v>0</v>
      </c>
      <c r="J235" s="71">
        <f t="shared" si="68"/>
        <v>0</v>
      </c>
      <c r="K235" s="71">
        <f t="shared" si="68"/>
        <v>0</v>
      </c>
    </row>
    <row r="236" spans="1:11" ht="15.6" x14ac:dyDescent="0.3">
      <c r="A236" s="114" t="s">
        <v>338</v>
      </c>
      <c r="B236" s="114"/>
      <c r="C236" s="60" t="s">
        <v>358</v>
      </c>
      <c r="D236" s="62"/>
      <c r="E236" s="62"/>
      <c r="F236" s="62"/>
      <c r="G236" s="62"/>
      <c r="H236" s="62"/>
      <c r="I236" s="62"/>
      <c r="J236" s="62"/>
      <c r="K236" s="62"/>
    </row>
    <row r="237" spans="1:11" ht="15.6" x14ac:dyDescent="0.3">
      <c r="A237" s="114" t="s">
        <v>340</v>
      </c>
      <c r="B237" s="114"/>
      <c r="C237" s="60" t="s">
        <v>359</v>
      </c>
      <c r="D237" s="62"/>
      <c r="E237" s="62"/>
      <c r="F237" s="62"/>
      <c r="G237" s="62"/>
      <c r="H237" s="62"/>
      <c r="I237" s="62"/>
      <c r="J237" s="62"/>
      <c r="K237" s="62"/>
    </row>
    <row r="238" spans="1:11" ht="15.6" x14ac:dyDescent="0.3">
      <c r="A238" s="114" t="s">
        <v>342</v>
      </c>
      <c r="B238" s="114"/>
      <c r="C238" s="60" t="s">
        <v>360</v>
      </c>
      <c r="D238" s="62"/>
      <c r="E238" s="62"/>
      <c r="F238" s="62"/>
      <c r="G238" s="62"/>
      <c r="H238" s="62"/>
      <c r="I238" s="62"/>
      <c r="J238" s="62"/>
      <c r="K238" s="62"/>
    </row>
    <row r="239" spans="1:11" ht="15.6" x14ac:dyDescent="0.3">
      <c r="A239" s="118" t="s">
        <v>361</v>
      </c>
      <c r="B239" s="112"/>
      <c r="C239" s="112"/>
      <c r="D239" s="112"/>
      <c r="E239" s="112"/>
      <c r="F239" s="112"/>
      <c r="G239" s="112"/>
      <c r="H239" s="112"/>
      <c r="I239" s="112"/>
      <c r="J239" s="112"/>
      <c r="K239" s="113"/>
    </row>
    <row r="240" spans="1:11" ht="15.6" x14ac:dyDescent="0.3">
      <c r="A240" s="109" t="s">
        <v>362</v>
      </c>
      <c r="B240" s="109"/>
      <c r="C240" s="93">
        <v>65</v>
      </c>
      <c r="D240" s="81">
        <f t="shared" ref="D240:K240" si="69">(D129/D216)</f>
        <v>1.9742332646348467E-4</v>
      </c>
      <c r="E240" s="81">
        <f>(E129/E216)</f>
        <v>6.8413469592900006E-4</v>
      </c>
      <c r="F240" s="81">
        <f t="shared" si="69"/>
        <v>2.5421438120191682E-4</v>
      </c>
      <c r="G240" s="81">
        <f t="shared" si="69"/>
        <v>4.0102139059816752E-4</v>
      </c>
      <c r="H240" s="81">
        <f t="shared" si="69"/>
        <v>7.4948101111254299E-5</v>
      </c>
      <c r="I240" s="81">
        <f t="shared" si="69"/>
        <v>7.2374241176292257E-5</v>
      </c>
      <c r="J240" s="81">
        <f t="shared" si="69"/>
        <v>9.023414333866932E-5</v>
      </c>
      <c r="K240" s="81">
        <f t="shared" si="69"/>
        <v>1.8272008037171515E-4</v>
      </c>
    </row>
    <row r="241" spans="1:11" ht="15.6" x14ac:dyDescent="0.3">
      <c r="A241" s="109" t="s">
        <v>363</v>
      </c>
      <c r="B241" s="109"/>
      <c r="C241" s="93">
        <v>66</v>
      </c>
      <c r="D241" s="81">
        <v>5.5980000000000002E-2</v>
      </c>
      <c r="E241" s="81">
        <v>0.16702</v>
      </c>
      <c r="F241" s="81">
        <f t="shared" ref="F241:K241" si="70">(F129/F31)</f>
        <v>0.14504125654450609</v>
      </c>
      <c r="G241" s="81">
        <f t="shared" si="70"/>
        <v>0.22749940631678045</v>
      </c>
      <c r="H241" s="81">
        <f t="shared" si="70"/>
        <v>0.21725663716816332</v>
      </c>
      <c r="I241" s="81">
        <f t="shared" si="70"/>
        <v>0.11164705882353113</v>
      </c>
      <c r="J241" s="81">
        <f t="shared" si="70"/>
        <v>0.15469755469756499</v>
      </c>
      <c r="K241" s="81">
        <f t="shared" si="70"/>
        <v>0.58459821428570136</v>
      </c>
    </row>
    <row r="242" spans="1:11" ht="15.6" x14ac:dyDescent="0.3">
      <c r="A242" s="109" t="s">
        <v>364</v>
      </c>
      <c r="B242" s="109"/>
      <c r="C242" s="93">
        <v>67</v>
      </c>
      <c r="D242" s="71"/>
      <c r="E242" s="71"/>
      <c r="F242" s="71"/>
      <c r="G242" s="71"/>
      <c r="H242" s="71"/>
      <c r="I242" s="71"/>
      <c r="J242" s="71"/>
      <c r="K242" s="71"/>
    </row>
    <row r="243" spans="1:11" ht="15.6" x14ac:dyDescent="0.3">
      <c r="A243" s="109" t="s">
        <v>365</v>
      </c>
      <c r="B243" s="109"/>
      <c r="C243" s="93">
        <v>68</v>
      </c>
      <c r="D243" s="71"/>
      <c r="E243" s="71"/>
      <c r="F243" s="71"/>
      <c r="G243" s="71"/>
      <c r="H243" s="71"/>
      <c r="I243" s="71"/>
      <c r="J243" s="71"/>
      <c r="K243" s="71"/>
    </row>
    <row r="244" spans="1:11" ht="15.6" x14ac:dyDescent="0.3">
      <c r="A244" s="118" t="s">
        <v>366</v>
      </c>
      <c r="B244" s="112"/>
      <c r="C244" s="112"/>
      <c r="D244" s="112"/>
      <c r="E244" s="112"/>
      <c r="F244" s="112"/>
      <c r="G244" s="112"/>
      <c r="H244" s="112"/>
      <c r="I244" s="112"/>
      <c r="J244" s="112"/>
      <c r="K244" s="113"/>
    </row>
    <row r="245" spans="1:11" ht="46.5" customHeight="1" x14ac:dyDescent="0.3">
      <c r="A245" s="114" t="s">
        <v>367</v>
      </c>
      <c r="B245" s="123"/>
      <c r="C245" s="71">
        <v>69</v>
      </c>
      <c r="D245" s="78">
        <f>SUM(D246:D248)</f>
        <v>64</v>
      </c>
      <c r="E245" s="78">
        <f t="shared" ref="E245:K245" si="71">SUM(E246:E248)</f>
        <v>87</v>
      </c>
      <c r="F245" s="78">
        <f t="shared" si="71"/>
        <v>79</v>
      </c>
      <c r="G245" s="78">
        <f t="shared" si="71"/>
        <v>87</v>
      </c>
      <c r="H245" s="78">
        <f t="shared" si="71"/>
        <v>87</v>
      </c>
      <c r="I245" s="78">
        <f t="shared" si="71"/>
        <v>87</v>
      </c>
      <c r="J245" s="78">
        <f t="shared" si="71"/>
        <v>87</v>
      </c>
      <c r="K245" s="78">
        <f t="shared" si="71"/>
        <v>87</v>
      </c>
    </row>
    <row r="246" spans="1:11" ht="15.6" x14ac:dyDescent="0.3">
      <c r="A246" s="114" t="s">
        <v>368</v>
      </c>
      <c r="B246" s="123"/>
      <c r="C246" s="79" t="s">
        <v>369</v>
      </c>
      <c r="D246" s="80">
        <v>1</v>
      </c>
      <c r="E246" s="80">
        <v>1</v>
      </c>
      <c r="F246" s="80">
        <v>1</v>
      </c>
      <c r="G246" s="80">
        <v>1</v>
      </c>
      <c r="H246" s="80">
        <v>1</v>
      </c>
      <c r="I246" s="80">
        <v>1</v>
      </c>
      <c r="J246" s="80">
        <v>1</v>
      </c>
      <c r="K246" s="80">
        <v>1</v>
      </c>
    </row>
    <row r="247" spans="1:11" ht="15.6" x14ac:dyDescent="0.3">
      <c r="A247" s="114" t="s">
        <v>370</v>
      </c>
      <c r="B247" s="123"/>
      <c r="C247" s="79" t="s">
        <v>371</v>
      </c>
      <c r="D247" s="80">
        <v>10</v>
      </c>
      <c r="E247" s="80">
        <v>11</v>
      </c>
      <c r="F247" s="80">
        <v>11</v>
      </c>
      <c r="G247" s="80">
        <v>13</v>
      </c>
      <c r="H247" s="80">
        <v>13</v>
      </c>
      <c r="I247" s="80">
        <v>13</v>
      </c>
      <c r="J247" s="80">
        <v>13</v>
      </c>
      <c r="K247" s="80">
        <v>13</v>
      </c>
    </row>
    <row r="248" spans="1:11" ht="15.6" x14ac:dyDescent="0.3">
      <c r="A248" s="114" t="s">
        <v>372</v>
      </c>
      <c r="B248" s="123"/>
      <c r="C248" s="79" t="s">
        <v>373</v>
      </c>
      <c r="D248" s="80">
        <v>53</v>
      </c>
      <c r="E248" s="80">
        <v>75</v>
      </c>
      <c r="F248" s="80">
        <v>67</v>
      </c>
      <c r="G248" s="80">
        <v>73</v>
      </c>
      <c r="H248" s="80">
        <v>73</v>
      </c>
      <c r="I248" s="80">
        <v>73</v>
      </c>
      <c r="J248" s="80">
        <v>73</v>
      </c>
      <c r="K248" s="80">
        <v>73</v>
      </c>
    </row>
    <row r="249" spans="1:11" ht="15.6" x14ac:dyDescent="0.3">
      <c r="A249" s="109" t="s">
        <v>374</v>
      </c>
      <c r="B249" s="109"/>
      <c r="C249" s="71">
        <v>70</v>
      </c>
      <c r="D249" s="78">
        <f>SUM(D250:D252)</f>
        <v>7120.7999999999993</v>
      </c>
      <c r="E249" s="78">
        <f t="shared" ref="E249:K249" si="72">SUM(E250:E252)</f>
        <v>12633.6</v>
      </c>
      <c r="F249" s="78">
        <f t="shared" si="72"/>
        <v>12601.7</v>
      </c>
      <c r="G249" s="78">
        <f>SUM(G250:G252)</f>
        <v>14189.96</v>
      </c>
      <c r="H249" s="78">
        <f t="shared" si="72"/>
        <v>3517.2</v>
      </c>
      <c r="I249" s="78">
        <f t="shared" si="72"/>
        <v>3549.6</v>
      </c>
      <c r="J249" s="78">
        <f t="shared" si="72"/>
        <v>3517.2</v>
      </c>
      <c r="K249" s="78">
        <f t="shared" si="72"/>
        <v>3605.96</v>
      </c>
    </row>
    <row r="250" spans="1:11" ht="15.6" x14ac:dyDescent="0.3">
      <c r="A250" s="114" t="s">
        <v>368</v>
      </c>
      <c r="B250" s="123"/>
      <c r="C250" s="79" t="s">
        <v>375</v>
      </c>
      <c r="D250" s="80">
        <v>303.89999999999998</v>
      </c>
      <c r="E250" s="80">
        <v>358.8</v>
      </c>
      <c r="F250" s="80">
        <v>445.7</v>
      </c>
      <c r="G250" s="80">
        <f>H250+I250+J250+K250</f>
        <v>457.6</v>
      </c>
      <c r="H250" s="80">
        <v>97.2</v>
      </c>
      <c r="I250" s="80">
        <v>129.6</v>
      </c>
      <c r="J250" s="80">
        <v>97.2</v>
      </c>
      <c r="K250" s="80">
        <v>133.6</v>
      </c>
    </row>
    <row r="251" spans="1:11" ht="15.6" x14ac:dyDescent="0.3">
      <c r="A251" s="114" t="s">
        <v>370</v>
      </c>
      <c r="B251" s="123"/>
      <c r="C251" s="79" t="s">
        <v>376</v>
      </c>
      <c r="D251" s="80">
        <v>1921.2</v>
      </c>
      <c r="E251" s="80">
        <v>1943.2</v>
      </c>
      <c r="F251" s="80">
        <v>2187</v>
      </c>
      <c r="G251" s="80">
        <f t="shared" ref="G251:G252" si="73">H251+I251+J251+K251</f>
        <v>2617.7999999999997</v>
      </c>
      <c r="H251" s="80">
        <f>594.9+50</f>
        <v>644.9</v>
      </c>
      <c r="I251" s="80">
        <f>594.9+50</f>
        <v>644.9</v>
      </c>
      <c r="J251" s="80">
        <f>594.9+50</f>
        <v>644.9</v>
      </c>
      <c r="K251" s="80">
        <f>613.1+70</f>
        <v>683.1</v>
      </c>
    </row>
    <row r="252" spans="1:11" ht="15.6" x14ac:dyDescent="0.3">
      <c r="A252" s="114" t="s">
        <v>372</v>
      </c>
      <c r="B252" s="123"/>
      <c r="C252" s="79" t="s">
        <v>377</v>
      </c>
      <c r="D252" s="80">
        <v>4895.7</v>
      </c>
      <c r="E252" s="80">
        <v>10331.6</v>
      </c>
      <c r="F252" s="80">
        <v>9969</v>
      </c>
      <c r="G252" s="80">
        <f t="shared" si="73"/>
        <v>11114.56</v>
      </c>
      <c r="H252" s="80">
        <v>2775.1</v>
      </c>
      <c r="I252" s="80">
        <v>2775.1</v>
      </c>
      <c r="J252" s="80">
        <v>2775.1</v>
      </c>
      <c r="K252" s="80">
        <v>2789.26</v>
      </c>
    </row>
    <row r="253" spans="1:11" ht="15.6" x14ac:dyDescent="0.3">
      <c r="A253" s="109" t="s">
        <v>378</v>
      </c>
      <c r="B253" s="109"/>
      <c r="C253" s="71">
        <v>71</v>
      </c>
      <c r="D253" s="78">
        <f>SUM(D254:D256)</f>
        <v>7120.7999999999993</v>
      </c>
      <c r="E253" s="78">
        <f t="shared" ref="E253:K253" si="74">SUM(E254:E256)</f>
        <v>12633.6</v>
      </c>
      <c r="F253" s="78">
        <f t="shared" si="74"/>
        <v>12601.7</v>
      </c>
      <c r="G253" s="78">
        <f t="shared" si="74"/>
        <v>14189.96</v>
      </c>
      <c r="H253" s="78">
        <f t="shared" si="74"/>
        <v>3517.2</v>
      </c>
      <c r="I253" s="78">
        <f t="shared" si="74"/>
        <v>3549.6</v>
      </c>
      <c r="J253" s="78">
        <f t="shared" si="74"/>
        <v>3517.2</v>
      </c>
      <c r="K253" s="78">
        <f t="shared" si="74"/>
        <v>3605.96</v>
      </c>
    </row>
    <row r="254" spans="1:11" ht="15.6" x14ac:dyDescent="0.3">
      <c r="A254" s="114" t="s">
        <v>368</v>
      </c>
      <c r="B254" s="123"/>
      <c r="C254" s="79" t="s">
        <v>379</v>
      </c>
      <c r="D254" s="80">
        <f>D250</f>
        <v>303.89999999999998</v>
      </c>
      <c r="E254" s="80">
        <v>358.8</v>
      </c>
      <c r="F254" s="80">
        <f>F250</f>
        <v>445.7</v>
      </c>
      <c r="G254" s="80">
        <f>H254+I254+J254+K254</f>
        <v>457.6</v>
      </c>
      <c r="H254" s="80">
        <f>H250</f>
        <v>97.2</v>
      </c>
      <c r="I254" s="80">
        <f t="shared" ref="I254:K254" si="75">I250</f>
        <v>129.6</v>
      </c>
      <c r="J254" s="80">
        <f t="shared" si="75"/>
        <v>97.2</v>
      </c>
      <c r="K254" s="80">
        <f t="shared" si="75"/>
        <v>133.6</v>
      </c>
    </row>
    <row r="255" spans="1:11" ht="15.6" x14ac:dyDescent="0.3">
      <c r="A255" s="114" t="s">
        <v>370</v>
      </c>
      <c r="B255" s="123"/>
      <c r="C255" s="79" t="s">
        <v>380</v>
      </c>
      <c r="D255" s="80">
        <f>D251</f>
        <v>1921.2</v>
      </c>
      <c r="E255" s="80">
        <v>1943.2</v>
      </c>
      <c r="F255" s="80">
        <f>F251</f>
        <v>2187</v>
      </c>
      <c r="G255" s="80">
        <f t="shared" ref="G255:G256" si="76">H255+I255+J255+K255</f>
        <v>2617.7999999999997</v>
      </c>
      <c r="H255" s="80">
        <f>H251</f>
        <v>644.9</v>
      </c>
      <c r="I255" s="80">
        <f t="shared" ref="I255:K255" si="77">I251</f>
        <v>644.9</v>
      </c>
      <c r="J255" s="80">
        <f t="shared" si="77"/>
        <v>644.9</v>
      </c>
      <c r="K255" s="80">
        <f t="shared" si="77"/>
        <v>683.1</v>
      </c>
    </row>
    <row r="256" spans="1:11" ht="15.6" x14ac:dyDescent="0.3">
      <c r="A256" s="114" t="s">
        <v>372</v>
      </c>
      <c r="B256" s="123"/>
      <c r="C256" s="79" t="s">
        <v>381</v>
      </c>
      <c r="D256" s="80">
        <f>D252</f>
        <v>4895.7</v>
      </c>
      <c r="E256" s="80">
        <f>E252</f>
        <v>10331.6</v>
      </c>
      <c r="F256" s="80">
        <f>F252</f>
        <v>9969</v>
      </c>
      <c r="G256" s="80">
        <f t="shared" si="76"/>
        <v>11114.56</v>
      </c>
      <c r="H256" s="80">
        <f>H252</f>
        <v>2775.1</v>
      </c>
      <c r="I256" s="80">
        <f t="shared" ref="I256:K256" si="78">I252</f>
        <v>2775.1</v>
      </c>
      <c r="J256" s="80">
        <f t="shared" si="78"/>
        <v>2775.1</v>
      </c>
      <c r="K256" s="80">
        <f t="shared" si="78"/>
        <v>2789.26</v>
      </c>
    </row>
    <row r="257" spans="1:11" ht="39" customHeight="1" x14ac:dyDescent="0.3">
      <c r="A257" s="109" t="s">
        <v>382</v>
      </c>
      <c r="B257" s="124"/>
      <c r="C257" s="71">
        <v>72</v>
      </c>
      <c r="D257" s="78">
        <f>D253/D245/12</f>
        <v>9.2718749999999996</v>
      </c>
      <c r="E257" s="78">
        <f>E253/E245/12</f>
        <v>12.101149425287355</v>
      </c>
      <c r="F257" s="78">
        <f>F249/F245/12</f>
        <v>13.292932489451479</v>
      </c>
      <c r="G257" s="78">
        <f>G253/G245/12</f>
        <v>13.591915708812259</v>
      </c>
      <c r="H257" s="78">
        <f>H253/H245/3</f>
        <v>13.475862068965517</v>
      </c>
      <c r="I257" s="78">
        <f>I253/I245/3</f>
        <v>13.6</v>
      </c>
      <c r="J257" s="78">
        <f t="shared" ref="J257" si="79">J253/J245/3</f>
        <v>13.475862068965517</v>
      </c>
      <c r="K257" s="78">
        <f>K249/K245/3</f>
        <v>13.815938697318009</v>
      </c>
    </row>
    <row r="258" spans="1:11" ht="15.6" x14ac:dyDescent="0.3">
      <c r="A258" s="114" t="s">
        <v>368</v>
      </c>
      <c r="B258" s="123"/>
      <c r="C258" s="79" t="s">
        <v>383</v>
      </c>
      <c r="D258" s="80">
        <f>(D254/D246)/12</f>
        <v>25.324999999999999</v>
      </c>
      <c r="E258" s="80">
        <f t="shared" ref="E258" si="80">(E254/E246)/12</f>
        <v>29.900000000000002</v>
      </c>
      <c r="F258" s="80">
        <f>(F254/F246)/12</f>
        <v>37.141666666666666</v>
      </c>
      <c r="G258" s="80">
        <f>(H258+I258+J258+K258)/4</f>
        <v>38.133333333333333</v>
      </c>
      <c r="H258" s="80">
        <f>(H254/G246)/3</f>
        <v>32.4</v>
      </c>
      <c r="I258" s="80">
        <f t="shared" ref="H258:K260" si="81">(I254/H246)/3</f>
        <v>43.199999999999996</v>
      </c>
      <c r="J258" s="80">
        <f t="shared" si="81"/>
        <v>32.4</v>
      </c>
      <c r="K258" s="80">
        <f t="shared" si="81"/>
        <v>44.533333333333331</v>
      </c>
    </row>
    <row r="259" spans="1:11" ht="15.6" x14ac:dyDescent="0.3">
      <c r="A259" s="114" t="s">
        <v>370</v>
      </c>
      <c r="B259" s="123"/>
      <c r="C259" s="79" t="s">
        <v>384</v>
      </c>
      <c r="D259" s="80">
        <f t="shared" ref="D259:F260" si="82">(D255/D247)/12</f>
        <v>16.010000000000002</v>
      </c>
      <c r="E259" s="80">
        <f>(E255/E247)/12</f>
        <v>14.721212121212121</v>
      </c>
      <c r="F259" s="80">
        <f t="shared" si="82"/>
        <v>16.568181818181817</v>
      </c>
      <c r="G259" s="80">
        <f t="shared" ref="G259:G261" si="83">(H259+I259+J259+K259)/4</f>
        <v>16.780769230769231</v>
      </c>
      <c r="H259" s="80">
        <f>(H255/G247)/3</f>
        <v>16.535897435897436</v>
      </c>
      <c r="I259" s="80">
        <f t="shared" si="81"/>
        <v>16.535897435897436</v>
      </c>
      <c r="J259" s="80">
        <f t="shared" si="81"/>
        <v>16.535897435897436</v>
      </c>
      <c r="K259" s="80">
        <f t="shared" si="81"/>
        <v>17.515384615384615</v>
      </c>
    </row>
    <row r="260" spans="1:11" ht="15.6" x14ac:dyDescent="0.3">
      <c r="A260" s="114" t="s">
        <v>372</v>
      </c>
      <c r="B260" s="123"/>
      <c r="C260" s="79" t="s">
        <v>385</v>
      </c>
      <c r="D260" s="80">
        <f t="shared" si="82"/>
        <v>7.6976415094339616</v>
      </c>
      <c r="E260" s="80">
        <f t="shared" si="82"/>
        <v>11.479555555555557</v>
      </c>
      <c r="F260" s="80">
        <f>(F256/F248)/12</f>
        <v>12.399253731343284</v>
      </c>
      <c r="G260" s="80">
        <f t="shared" si="83"/>
        <v>12.687853881278539</v>
      </c>
      <c r="H260" s="80">
        <f t="shared" si="81"/>
        <v>12.671689497716896</v>
      </c>
      <c r="I260" s="80">
        <f t="shared" si="81"/>
        <v>12.671689497716896</v>
      </c>
      <c r="J260" s="80">
        <f t="shared" si="81"/>
        <v>12.671689497716896</v>
      </c>
      <c r="K260" s="80">
        <f t="shared" si="81"/>
        <v>12.73634703196347</v>
      </c>
    </row>
    <row r="261" spans="1:11" ht="15.6" x14ac:dyDescent="0.3">
      <c r="A261" s="109" t="s">
        <v>386</v>
      </c>
      <c r="B261" s="124"/>
      <c r="C261" s="71">
        <v>73</v>
      </c>
      <c r="D261" s="78">
        <f>SUM(D262:D264)</f>
        <v>0</v>
      </c>
      <c r="E261" s="78">
        <f t="shared" ref="E261:K261" si="84">SUM(E262:E264)</f>
        <v>0</v>
      </c>
      <c r="F261" s="78">
        <f t="shared" si="84"/>
        <v>0</v>
      </c>
      <c r="G261" s="80">
        <f t="shared" si="83"/>
        <v>0</v>
      </c>
      <c r="H261" s="78">
        <f t="shared" si="84"/>
        <v>0</v>
      </c>
      <c r="I261" s="78">
        <f t="shared" si="84"/>
        <v>0</v>
      </c>
      <c r="J261" s="78">
        <f t="shared" si="84"/>
        <v>0</v>
      </c>
      <c r="K261" s="78">
        <f t="shared" si="84"/>
        <v>0</v>
      </c>
    </row>
    <row r="262" spans="1:11" ht="15.6" x14ac:dyDescent="0.3">
      <c r="A262" s="114" t="s">
        <v>368</v>
      </c>
      <c r="B262" s="123"/>
      <c r="C262" s="79" t="s">
        <v>387</v>
      </c>
      <c r="D262" s="80"/>
      <c r="E262" s="80"/>
      <c r="F262" s="80"/>
      <c r="G262" s="80"/>
      <c r="H262" s="80"/>
      <c r="I262" s="80"/>
      <c r="J262" s="80"/>
      <c r="K262" s="80"/>
    </row>
    <row r="263" spans="1:11" ht="15.6" x14ac:dyDescent="0.3">
      <c r="A263" s="114" t="s">
        <v>370</v>
      </c>
      <c r="B263" s="123"/>
      <c r="C263" s="79" t="s">
        <v>388</v>
      </c>
      <c r="D263" s="52"/>
      <c r="E263" s="52"/>
      <c r="F263" s="52"/>
      <c r="G263" s="52"/>
      <c r="H263" s="52"/>
      <c r="I263" s="52"/>
      <c r="J263" s="52"/>
      <c r="K263" s="52"/>
    </row>
    <row r="264" spans="1:11" ht="15.6" x14ac:dyDescent="0.3">
      <c r="A264" s="114" t="s">
        <v>372</v>
      </c>
      <c r="B264" s="123"/>
      <c r="C264" s="79" t="s">
        <v>389</v>
      </c>
      <c r="D264" s="52"/>
      <c r="E264" s="52"/>
      <c r="F264" s="52"/>
      <c r="G264" s="52"/>
      <c r="H264" s="52"/>
      <c r="I264" s="52"/>
      <c r="J264" s="52"/>
      <c r="K264" s="52"/>
    </row>
    <row r="265" spans="1:11" ht="15.6" hidden="1" x14ac:dyDescent="0.3">
      <c r="A265" s="50"/>
      <c r="B265" s="50"/>
      <c r="C265" s="72"/>
      <c r="D265" s="73"/>
      <c r="E265" s="73"/>
      <c r="F265" s="73"/>
      <c r="G265" s="73"/>
      <c r="H265" s="73"/>
      <c r="I265" s="73"/>
      <c r="J265" s="73"/>
      <c r="K265" s="73"/>
    </row>
    <row r="267" spans="1:11" s="46" customFormat="1" ht="15.6" x14ac:dyDescent="0.3">
      <c r="A267" s="46" t="s">
        <v>427</v>
      </c>
      <c r="C267" s="74" t="s">
        <v>391</v>
      </c>
      <c r="F267" s="74" t="s">
        <v>428</v>
      </c>
    </row>
    <row r="268" spans="1:11" s="46" customFormat="1" ht="15.6" x14ac:dyDescent="0.3">
      <c r="A268" s="74" t="s">
        <v>392</v>
      </c>
      <c r="C268" s="74" t="s">
        <v>393</v>
      </c>
      <c r="F268" s="74" t="s">
        <v>394</v>
      </c>
    </row>
    <row r="269" spans="1:11" s="46" customFormat="1" ht="15.6" x14ac:dyDescent="0.3">
      <c r="A269" s="74"/>
      <c r="C269" s="74"/>
      <c r="F269" s="74"/>
    </row>
    <row r="270" spans="1:11" s="46" customFormat="1" ht="15.6" x14ac:dyDescent="0.3">
      <c r="A270" s="74"/>
      <c r="C270" s="74"/>
      <c r="F270" s="74"/>
    </row>
    <row r="271" spans="1:11" s="75" customFormat="1" ht="17.399999999999999" hidden="1" x14ac:dyDescent="0.3">
      <c r="A271" s="75" t="s">
        <v>404</v>
      </c>
    </row>
  </sheetData>
  <mergeCells count="270">
    <mergeCell ref="A259:B259"/>
    <mergeCell ref="A260:B260"/>
    <mergeCell ref="A261:B261"/>
    <mergeCell ref="A262:B262"/>
    <mergeCell ref="A263:B263"/>
    <mergeCell ref="A264:B264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B243"/>
    <mergeCell ref="A244:K244"/>
    <mergeCell ref="A245:B245"/>
    <mergeCell ref="A246:B246"/>
    <mergeCell ref="A235:B235"/>
    <mergeCell ref="A236:B236"/>
    <mergeCell ref="A237:B237"/>
    <mergeCell ref="A238:B238"/>
    <mergeCell ref="A239:K239"/>
    <mergeCell ref="A240:B240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K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K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K191"/>
    <mergeCell ref="A192:B192"/>
    <mergeCell ref="A181:B181"/>
    <mergeCell ref="A182:K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ageMargins left="0.39370078740157483" right="0.39370078740157483" top="0.39370078740157483" bottom="0.39370078740157483" header="0.31496062992125984" footer="0.31496062992125984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71"/>
  <sheetViews>
    <sheetView topLeftCell="A254" workbookViewId="0">
      <selection activeCell="A257" sqref="A257:K260"/>
    </sheetView>
  </sheetViews>
  <sheetFormatPr defaultColWidth="9.109375" defaultRowHeight="14.4" x14ac:dyDescent="0.3"/>
  <cols>
    <col min="1" max="1" width="29.6640625" style="47" customWidth="1"/>
    <col min="2" max="2" width="33.5546875" style="47" customWidth="1"/>
    <col min="3" max="3" width="12" style="47" customWidth="1"/>
    <col min="4" max="4" width="14.6640625" style="47" customWidth="1"/>
    <col min="5" max="5" width="13" style="47" customWidth="1"/>
    <col min="6" max="6" width="11.88671875" style="47" customWidth="1"/>
    <col min="7" max="7" width="15" style="47" customWidth="1"/>
    <col min="8" max="8" width="11.44140625" style="47" customWidth="1"/>
    <col min="9" max="10" width="12.109375" style="47" customWidth="1"/>
    <col min="11" max="11" width="10.6640625" style="47" bestFit="1" customWidth="1"/>
    <col min="12" max="16384" width="9.109375" style="47"/>
  </cols>
  <sheetData>
    <row r="1" spans="1:12" ht="15.6" x14ac:dyDescent="0.3">
      <c r="A1" s="46"/>
      <c r="B1" s="46"/>
      <c r="C1" s="46"/>
      <c r="D1" s="46"/>
      <c r="E1" s="46"/>
      <c r="F1" s="101" t="s">
        <v>0</v>
      </c>
      <c r="G1" s="101"/>
      <c r="H1" s="101"/>
      <c r="I1" s="101"/>
      <c r="J1" s="101"/>
      <c r="K1" s="101"/>
      <c r="L1" s="46"/>
    </row>
    <row r="2" spans="1:12" ht="15.6" x14ac:dyDescent="0.3">
      <c r="A2" s="46"/>
      <c r="B2" s="46"/>
      <c r="C2" s="46"/>
      <c r="D2" s="46"/>
      <c r="E2" s="46"/>
      <c r="F2" s="102" t="s">
        <v>1</v>
      </c>
      <c r="G2" s="102"/>
      <c r="H2" s="102"/>
      <c r="I2" s="102"/>
      <c r="J2" s="102"/>
      <c r="K2" s="102"/>
      <c r="L2" s="46"/>
    </row>
    <row r="3" spans="1:12" ht="15.6" x14ac:dyDescent="0.3">
      <c r="A3" s="46"/>
      <c r="B3" s="46"/>
      <c r="C3" s="46"/>
      <c r="D3" s="46"/>
      <c r="E3" s="46"/>
      <c r="F3" s="102" t="s">
        <v>2</v>
      </c>
      <c r="G3" s="102"/>
      <c r="H3" s="102"/>
      <c r="I3" s="102"/>
      <c r="J3" s="102"/>
      <c r="K3" s="102"/>
      <c r="L3" s="46"/>
    </row>
    <row r="4" spans="1:12" ht="15.6" x14ac:dyDescent="0.3">
      <c r="A4" s="46"/>
      <c r="B4" s="103"/>
      <c r="C4" s="103"/>
      <c r="D4" s="103"/>
      <c r="E4" s="103"/>
      <c r="F4" s="104" t="s">
        <v>3</v>
      </c>
      <c r="G4" s="104"/>
      <c r="H4" s="104"/>
      <c r="I4" s="104"/>
      <c r="J4" s="104"/>
      <c r="K4" s="104"/>
      <c r="L4" s="46"/>
    </row>
    <row r="5" spans="1:12" ht="18" x14ac:dyDescent="0.3">
      <c r="B5" s="1"/>
      <c r="C5" s="1"/>
      <c r="D5" s="1"/>
      <c r="E5" s="1"/>
      <c r="F5" s="41"/>
      <c r="G5" s="41"/>
      <c r="H5" s="41"/>
      <c r="I5" s="41"/>
      <c r="J5" s="41"/>
      <c r="K5" s="41"/>
    </row>
    <row r="6" spans="1:12" ht="18" x14ac:dyDescent="0.3">
      <c r="B6" s="1"/>
      <c r="C6" s="1"/>
      <c r="D6" s="1"/>
      <c r="E6" s="1"/>
      <c r="F6" s="105" t="s">
        <v>4</v>
      </c>
      <c r="G6" s="105"/>
      <c r="H6" s="105"/>
      <c r="I6" s="105"/>
      <c r="J6" s="41"/>
      <c r="K6" s="41"/>
    </row>
    <row r="7" spans="1:12" ht="18" x14ac:dyDescent="0.3">
      <c r="B7" s="1"/>
      <c r="C7" s="1"/>
      <c r="D7" s="1"/>
      <c r="E7" s="1"/>
      <c r="F7" s="98" t="s">
        <v>5</v>
      </c>
      <c r="G7" s="98"/>
      <c r="H7" s="98"/>
      <c r="I7" s="98"/>
      <c r="J7" s="98"/>
      <c r="K7" s="98"/>
    </row>
    <row r="8" spans="1:12" ht="18" x14ac:dyDescent="0.3">
      <c r="B8" s="1"/>
      <c r="C8" s="1"/>
      <c r="D8" s="1"/>
      <c r="E8" s="1"/>
      <c r="F8" s="41"/>
      <c r="G8" s="41"/>
      <c r="H8" s="41"/>
      <c r="I8" s="41"/>
      <c r="J8" s="41"/>
      <c r="K8" s="41"/>
    </row>
    <row r="9" spans="1:12" ht="18" x14ac:dyDescent="0.3">
      <c r="B9" s="1"/>
      <c r="C9" s="1"/>
      <c r="D9" s="1"/>
      <c r="E9" s="1"/>
      <c r="F9" s="98" t="s">
        <v>6</v>
      </c>
      <c r="G9" s="98"/>
      <c r="H9" s="98"/>
      <c r="I9" s="98"/>
      <c r="J9" s="98"/>
      <c r="K9" s="98"/>
    </row>
    <row r="10" spans="1:12" ht="18" hidden="1" x14ac:dyDescent="0.3">
      <c r="B10" s="1"/>
      <c r="C10" s="1"/>
      <c r="D10" s="1"/>
      <c r="E10" s="1"/>
      <c r="F10" s="2"/>
      <c r="G10" s="2"/>
      <c r="H10" s="2"/>
      <c r="I10" s="2"/>
      <c r="J10" s="2"/>
      <c r="K10" s="2"/>
    </row>
    <row r="11" spans="1:12" ht="31.2" x14ac:dyDescent="0.3">
      <c r="A11" s="48" t="s">
        <v>7</v>
      </c>
      <c r="B11" s="99" t="s">
        <v>406</v>
      </c>
      <c r="C11" s="99"/>
      <c r="D11" s="99"/>
      <c r="E11" s="99"/>
      <c r="F11" s="48" t="s">
        <v>8</v>
      </c>
      <c r="G11" s="100">
        <v>41141202</v>
      </c>
      <c r="H11" s="100"/>
      <c r="I11" s="100"/>
      <c r="J11" s="100"/>
      <c r="K11" s="100"/>
    </row>
    <row r="12" spans="1:12" ht="31.2" x14ac:dyDescent="0.3">
      <c r="A12" s="48" t="s">
        <v>9</v>
      </c>
      <c r="B12" s="99" t="s">
        <v>407</v>
      </c>
      <c r="C12" s="99"/>
      <c r="D12" s="99"/>
      <c r="E12" s="99"/>
      <c r="F12" s="48" t="s">
        <v>10</v>
      </c>
      <c r="G12" s="100">
        <v>3210800000</v>
      </c>
      <c r="H12" s="100"/>
      <c r="I12" s="100"/>
      <c r="J12" s="100"/>
      <c r="K12" s="100"/>
    </row>
    <row r="13" spans="1:12" ht="31.2" x14ac:dyDescent="0.3">
      <c r="A13" s="48" t="s">
        <v>11</v>
      </c>
      <c r="B13" s="100" t="s">
        <v>408</v>
      </c>
      <c r="C13" s="100"/>
      <c r="D13" s="100"/>
      <c r="E13" s="100"/>
      <c r="F13" s="48" t="s">
        <v>12</v>
      </c>
      <c r="G13" s="100">
        <v>150</v>
      </c>
      <c r="H13" s="100"/>
      <c r="I13" s="100"/>
      <c r="J13" s="100"/>
      <c r="K13" s="100"/>
    </row>
    <row r="14" spans="1:12" ht="15.6" x14ac:dyDescent="0.3">
      <c r="A14" s="48" t="s">
        <v>13</v>
      </c>
      <c r="B14" s="100" t="s">
        <v>409</v>
      </c>
      <c r="C14" s="100"/>
      <c r="D14" s="100"/>
      <c r="E14" s="100"/>
      <c r="F14" s="48" t="s">
        <v>14</v>
      </c>
      <c r="G14" s="100" t="s">
        <v>411</v>
      </c>
      <c r="H14" s="100"/>
      <c r="I14" s="100"/>
      <c r="J14" s="100"/>
      <c r="K14" s="100"/>
    </row>
    <row r="15" spans="1:12" ht="31.2" x14ac:dyDescent="0.3">
      <c r="A15" s="48" t="s">
        <v>15</v>
      </c>
      <c r="B15" s="100"/>
      <c r="C15" s="100"/>
      <c r="D15" s="100"/>
      <c r="E15" s="100"/>
      <c r="F15" s="49"/>
      <c r="G15" s="49"/>
      <c r="H15" s="49"/>
      <c r="I15" s="49"/>
      <c r="J15" s="49"/>
      <c r="K15" s="46"/>
    </row>
    <row r="16" spans="1:12" ht="31.2" x14ac:dyDescent="0.3">
      <c r="A16" s="48" t="s">
        <v>16</v>
      </c>
      <c r="B16" s="100">
        <v>90</v>
      </c>
      <c r="C16" s="100"/>
      <c r="D16" s="100"/>
      <c r="E16" s="100"/>
      <c r="F16" s="49"/>
      <c r="G16" s="49"/>
      <c r="H16" s="49"/>
      <c r="I16" s="49"/>
      <c r="J16" s="49"/>
      <c r="K16" s="46"/>
    </row>
    <row r="17" spans="1:11" ht="31.2" x14ac:dyDescent="0.3">
      <c r="A17" s="48" t="s">
        <v>17</v>
      </c>
      <c r="B17" s="100" t="s">
        <v>410</v>
      </c>
      <c r="C17" s="100"/>
      <c r="D17" s="100"/>
      <c r="E17" s="100"/>
      <c r="F17" s="49"/>
      <c r="G17" s="49"/>
      <c r="H17" s="49"/>
      <c r="I17" s="49"/>
      <c r="J17" s="49"/>
      <c r="K17" s="46"/>
    </row>
    <row r="18" spans="1:11" ht="15.6" x14ac:dyDescent="0.3">
      <c r="A18" s="48" t="s">
        <v>18</v>
      </c>
      <c r="B18" s="100" t="s">
        <v>438</v>
      </c>
      <c r="C18" s="100"/>
      <c r="D18" s="100"/>
      <c r="E18" s="100"/>
      <c r="F18" s="49"/>
      <c r="G18" s="49"/>
      <c r="H18" s="49"/>
      <c r="I18" s="49"/>
      <c r="J18" s="49"/>
      <c r="K18" s="46"/>
    </row>
    <row r="19" spans="1:11" ht="15.6" x14ac:dyDescent="0.3">
      <c r="A19" s="50"/>
      <c r="B19" s="50"/>
      <c r="C19" s="50"/>
      <c r="D19" s="50"/>
      <c r="E19" s="50"/>
      <c r="F19" s="49"/>
      <c r="G19" s="49"/>
      <c r="H19" s="49"/>
      <c r="I19" s="49"/>
      <c r="J19" s="49"/>
      <c r="K19" s="46"/>
    </row>
    <row r="20" spans="1:11" x14ac:dyDescent="0.3">
      <c r="A20" s="106" t="s">
        <v>19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x14ac:dyDescent="0.3">
      <c r="A21" s="106" t="s">
        <v>412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ht="15.6" x14ac:dyDescent="0.3">
      <c r="A22" s="107" t="s">
        <v>20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1" x14ac:dyDescent="0.3">
      <c r="A23" s="108"/>
      <c r="B23" s="108"/>
      <c r="C23" s="108"/>
      <c r="D23" s="108"/>
      <c r="E23" s="108"/>
      <c r="F23" s="108"/>
      <c r="G23" s="108"/>
      <c r="H23" s="108"/>
      <c r="I23" s="108"/>
      <c r="J23" s="51"/>
    </row>
    <row r="24" spans="1:11" x14ac:dyDescent="0.3">
      <c r="A24" s="115"/>
      <c r="B24" s="115"/>
      <c r="C24" s="115" t="s">
        <v>21</v>
      </c>
      <c r="D24" s="115" t="s">
        <v>431</v>
      </c>
      <c r="E24" s="115" t="s">
        <v>432</v>
      </c>
      <c r="F24" s="115" t="s">
        <v>430</v>
      </c>
      <c r="G24" s="115" t="s">
        <v>433</v>
      </c>
      <c r="H24" s="111" t="s">
        <v>22</v>
      </c>
      <c r="I24" s="111"/>
      <c r="J24" s="111"/>
      <c r="K24" s="111"/>
    </row>
    <row r="25" spans="1:11" ht="45.75" customHeight="1" x14ac:dyDescent="0.3">
      <c r="A25" s="115"/>
      <c r="B25" s="115"/>
      <c r="C25" s="115"/>
      <c r="D25" s="115"/>
      <c r="E25" s="115"/>
      <c r="F25" s="115"/>
      <c r="G25" s="115"/>
      <c r="H25" s="77">
        <v>1</v>
      </c>
      <c r="I25" s="77">
        <v>2</v>
      </c>
      <c r="J25" s="77">
        <v>3</v>
      </c>
      <c r="K25" s="77">
        <v>4</v>
      </c>
    </row>
    <row r="26" spans="1:11" ht="15.6" x14ac:dyDescent="0.3">
      <c r="A26" s="112" t="s">
        <v>23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3"/>
    </row>
    <row r="27" spans="1:11" ht="32.25" customHeight="1" x14ac:dyDescent="0.3">
      <c r="A27" s="109" t="s">
        <v>24</v>
      </c>
      <c r="B27" s="109"/>
      <c r="C27" s="48">
        <v>1</v>
      </c>
      <c r="D27" s="43">
        <v>235.4</v>
      </c>
      <c r="E27" s="43">
        <v>308.5</v>
      </c>
      <c r="F27" s="43">
        <v>202.4</v>
      </c>
      <c r="G27" s="43">
        <f>H27+I27+J27+K27</f>
        <v>263.15999999999997</v>
      </c>
      <c r="H27" s="43">
        <v>53</v>
      </c>
      <c r="I27" s="43">
        <v>80</v>
      </c>
      <c r="J27" s="43">
        <v>80</v>
      </c>
      <c r="K27" s="52">
        <v>50.16</v>
      </c>
    </row>
    <row r="28" spans="1:11" ht="15.6" x14ac:dyDescent="0.3">
      <c r="A28" s="114" t="s">
        <v>25</v>
      </c>
      <c r="B28" s="114"/>
      <c r="C28" s="53">
        <v>2</v>
      </c>
      <c r="D28" s="43"/>
      <c r="E28" s="43">
        <v>51.4</v>
      </c>
      <c r="F28" s="43">
        <f>ROUND(F27/6,2)</f>
        <v>33.729999999999997</v>
      </c>
      <c r="G28" s="43">
        <f>H28+I28+J28+K28</f>
        <v>43.85</v>
      </c>
      <c r="H28" s="43">
        <v>8.83</v>
      </c>
      <c r="I28" s="43">
        <v>13.33</v>
      </c>
      <c r="J28" s="43">
        <v>13.33</v>
      </c>
      <c r="K28" s="52">
        <v>8.36</v>
      </c>
    </row>
    <row r="29" spans="1:11" ht="15.6" x14ac:dyDescent="0.3">
      <c r="A29" s="114" t="s">
        <v>26</v>
      </c>
      <c r="B29" s="114"/>
      <c r="C29" s="53">
        <v>3</v>
      </c>
      <c r="D29" s="43"/>
      <c r="E29" s="43"/>
      <c r="F29" s="43"/>
      <c r="G29" s="43"/>
      <c r="H29" s="43"/>
      <c r="I29" s="43"/>
      <c r="J29" s="43"/>
      <c r="K29" s="52"/>
    </row>
    <row r="30" spans="1:11" ht="15.6" x14ac:dyDescent="0.3">
      <c r="A30" s="114" t="s">
        <v>27</v>
      </c>
      <c r="B30" s="114"/>
      <c r="C30" s="53">
        <v>4</v>
      </c>
      <c r="D30" s="43"/>
      <c r="E30" s="43"/>
      <c r="F30" s="43"/>
      <c r="G30" s="43"/>
      <c r="H30" s="43"/>
      <c r="I30" s="43"/>
      <c r="J30" s="43"/>
      <c r="K30" s="52"/>
    </row>
    <row r="31" spans="1:11" ht="15.6" x14ac:dyDescent="0.3">
      <c r="A31" s="109" t="s">
        <v>28</v>
      </c>
      <c r="B31" s="109"/>
      <c r="C31" s="48">
        <v>5</v>
      </c>
      <c r="D31" s="42">
        <f>D27-D28-D29-D30</f>
        <v>235.4</v>
      </c>
      <c r="E31" s="42">
        <f>E27-E28-E29-E30</f>
        <v>257.10000000000002</v>
      </c>
      <c r="F31" s="42">
        <f t="shared" ref="F31:K31" si="0">F27-F28-F29-F30</f>
        <v>168.67000000000002</v>
      </c>
      <c r="G31" s="42">
        <f t="shared" si="0"/>
        <v>219.30999999999997</v>
      </c>
      <c r="H31" s="42">
        <f t="shared" si="0"/>
        <v>44.17</v>
      </c>
      <c r="I31" s="42">
        <f t="shared" si="0"/>
        <v>66.67</v>
      </c>
      <c r="J31" s="42">
        <f t="shared" si="0"/>
        <v>66.67</v>
      </c>
      <c r="K31" s="42">
        <f t="shared" si="0"/>
        <v>41.8</v>
      </c>
    </row>
    <row r="32" spans="1:11" ht="16.2" x14ac:dyDescent="0.3">
      <c r="A32" s="110" t="s">
        <v>413</v>
      </c>
      <c r="B32" s="110"/>
      <c r="C32" s="54" t="s">
        <v>29</v>
      </c>
      <c r="D32" s="43">
        <v>77.599999999999994</v>
      </c>
      <c r="E32" s="43">
        <v>85</v>
      </c>
      <c r="F32" s="43">
        <v>88.25</v>
      </c>
      <c r="G32" s="43">
        <f>H32+I32+J32+K32</f>
        <v>69.929999999999993</v>
      </c>
      <c r="H32" s="43">
        <v>24.53</v>
      </c>
      <c r="I32" s="43">
        <v>16.3</v>
      </c>
      <c r="J32" s="43">
        <v>11.3</v>
      </c>
      <c r="K32" s="52">
        <v>17.8</v>
      </c>
    </row>
    <row r="33" spans="1:11" ht="16.2" x14ac:dyDescent="0.3">
      <c r="A33" s="110" t="s">
        <v>414</v>
      </c>
      <c r="B33" s="110"/>
      <c r="C33" s="54" t="s">
        <v>30</v>
      </c>
      <c r="D33" s="43">
        <v>4.5</v>
      </c>
      <c r="E33" s="43">
        <v>7.1</v>
      </c>
      <c r="F33" s="43">
        <v>13</v>
      </c>
      <c r="G33" s="43">
        <f t="shared" ref="G33:G35" si="1">H33+I33+J33+K33</f>
        <v>5.8</v>
      </c>
      <c r="H33" s="43">
        <v>1.3</v>
      </c>
      <c r="I33" s="43">
        <v>2</v>
      </c>
      <c r="J33" s="43">
        <v>1.5</v>
      </c>
      <c r="K33" s="52">
        <v>1</v>
      </c>
    </row>
    <row r="34" spans="1:11" ht="16.2" x14ac:dyDescent="0.3">
      <c r="A34" s="110" t="s">
        <v>415</v>
      </c>
      <c r="B34" s="110"/>
      <c r="C34" s="54" t="s">
        <v>31</v>
      </c>
      <c r="D34" s="43">
        <f>78+45.6</f>
        <v>123.6</v>
      </c>
      <c r="E34" s="43">
        <v>130</v>
      </c>
      <c r="F34" s="43">
        <v>46.08</v>
      </c>
      <c r="G34" s="43">
        <f t="shared" si="1"/>
        <v>68.84</v>
      </c>
      <c r="H34" s="43">
        <v>7.5</v>
      </c>
      <c r="I34" s="43">
        <v>23.67</v>
      </c>
      <c r="J34" s="43">
        <v>26.37</v>
      </c>
      <c r="K34" s="52">
        <v>11.3</v>
      </c>
    </row>
    <row r="35" spans="1:11" ht="16.2" x14ac:dyDescent="0.3">
      <c r="A35" s="110" t="s">
        <v>416</v>
      </c>
      <c r="B35" s="110"/>
      <c r="C35" s="54" t="s">
        <v>32</v>
      </c>
      <c r="D35" s="43">
        <f>24.9+4.8</f>
        <v>29.7</v>
      </c>
      <c r="E35" s="43">
        <v>35</v>
      </c>
      <c r="F35" s="43">
        <v>21.34</v>
      </c>
      <c r="G35" s="43">
        <f t="shared" si="1"/>
        <v>74.739999999999995</v>
      </c>
      <c r="H35" s="43">
        <v>10.84</v>
      </c>
      <c r="I35" s="43">
        <v>24.7</v>
      </c>
      <c r="J35" s="43">
        <v>27.5</v>
      </c>
      <c r="K35" s="52">
        <v>11.7</v>
      </c>
    </row>
    <row r="36" spans="1:11" ht="16.2" hidden="1" x14ac:dyDescent="0.3">
      <c r="A36" s="110" t="s">
        <v>417</v>
      </c>
      <c r="B36" s="110"/>
      <c r="C36" s="54" t="s">
        <v>33</v>
      </c>
      <c r="D36" s="43"/>
      <c r="E36" s="43"/>
      <c r="F36" s="43"/>
      <c r="G36" s="43"/>
      <c r="H36" s="43"/>
      <c r="I36" s="43"/>
      <c r="J36" s="43"/>
      <c r="K36" s="52"/>
    </row>
    <row r="37" spans="1:11" ht="32.25" customHeight="1" x14ac:dyDescent="0.3">
      <c r="A37" s="109" t="s">
        <v>34</v>
      </c>
      <c r="B37" s="109"/>
      <c r="C37" s="48">
        <v>6</v>
      </c>
      <c r="D37" s="42">
        <f>SUM(D38:D46)</f>
        <v>83</v>
      </c>
      <c r="E37" s="42">
        <f t="shared" ref="E37:J37" si="2">SUM(E38:E46)</f>
        <v>85</v>
      </c>
      <c r="F37" s="42">
        <f t="shared" si="2"/>
        <v>88.25</v>
      </c>
      <c r="G37" s="42">
        <f t="shared" si="2"/>
        <v>75.73</v>
      </c>
      <c r="H37" s="42">
        <f t="shared" si="2"/>
        <v>25.830000000000002</v>
      </c>
      <c r="I37" s="42">
        <f t="shared" si="2"/>
        <v>18.3</v>
      </c>
      <c r="J37" s="42">
        <f t="shared" si="2"/>
        <v>12.8</v>
      </c>
      <c r="K37" s="42">
        <f>SUM(K38:K46)</f>
        <v>18.8</v>
      </c>
    </row>
    <row r="38" spans="1:11" ht="15.6" x14ac:dyDescent="0.3">
      <c r="A38" s="114" t="s">
        <v>35</v>
      </c>
      <c r="B38" s="114"/>
      <c r="C38" s="54" t="s">
        <v>36</v>
      </c>
      <c r="D38" s="43"/>
      <c r="E38" s="43"/>
      <c r="F38" s="43"/>
      <c r="G38" s="43"/>
      <c r="H38" s="43"/>
      <c r="I38" s="43"/>
      <c r="J38" s="43"/>
      <c r="K38" s="52"/>
    </row>
    <row r="39" spans="1:11" ht="15.6" x14ac:dyDescent="0.3">
      <c r="A39" s="114" t="s">
        <v>37</v>
      </c>
      <c r="B39" s="114"/>
      <c r="C39" s="54" t="s">
        <v>38</v>
      </c>
      <c r="D39" s="43"/>
      <c r="E39" s="43"/>
      <c r="F39" s="43"/>
      <c r="G39" s="43"/>
      <c r="H39" s="43"/>
      <c r="I39" s="43"/>
      <c r="J39" s="43"/>
      <c r="K39" s="52"/>
    </row>
    <row r="40" spans="1:11" ht="15.6" x14ac:dyDescent="0.3">
      <c r="A40" s="114" t="s">
        <v>39</v>
      </c>
      <c r="B40" s="114"/>
      <c r="C40" s="54" t="s">
        <v>40</v>
      </c>
      <c r="D40" s="43"/>
      <c r="E40" s="43"/>
      <c r="F40" s="43"/>
      <c r="G40" s="43"/>
      <c r="H40" s="43"/>
      <c r="I40" s="43"/>
      <c r="J40" s="43"/>
      <c r="K40" s="52"/>
    </row>
    <row r="41" spans="1:11" ht="15.6" x14ac:dyDescent="0.3">
      <c r="A41" s="114" t="s">
        <v>41</v>
      </c>
      <c r="B41" s="114"/>
      <c r="C41" s="54" t="s">
        <v>42</v>
      </c>
      <c r="D41" s="43"/>
      <c r="E41" s="43"/>
      <c r="F41" s="43"/>
      <c r="G41" s="43"/>
      <c r="H41" s="43"/>
      <c r="I41" s="43"/>
      <c r="J41" s="43"/>
      <c r="K41" s="52"/>
    </row>
    <row r="42" spans="1:11" ht="15.6" x14ac:dyDescent="0.3">
      <c r="A42" s="114" t="s">
        <v>43</v>
      </c>
      <c r="B42" s="114"/>
      <c r="C42" s="54" t="s">
        <v>44</v>
      </c>
      <c r="D42" s="43"/>
      <c r="E42" s="43"/>
      <c r="F42" s="43"/>
      <c r="G42" s="43"/>
      <c r="H42" s="43"/>
      <c r="I42" s="43"/>
      <c r="J42" s="43"/>
      <c r="K42" s="52"/>
    </row>
    <row r="43" spans="1:11" ht="15.6" x14ac:dyDescent="0.3">
      <c r="A43" s="114" t="s">
        <v>45</v>
      </c>
      <c r="B43" s="114"/>
      <c r="C43" s="54" t="s">
        <v>46</v>
      </c>
      <c r="D43" s="43"/>
      <c r="E43" s="43"/>
      <c r="F43" s="43"/>
      <c r="G43" s="43"/>
      <c r="H43" s="43"/>
      <c r="I43" s="43"/>
      <c r="J43" s="43"/>
      <c r="K43" s="52"/>
    </row>
    <row r="44" spans="1:11" ht="15.6" x14ac:dyDescent="0.3">
      <c r="A44" s="114" t="s">
        <v>47</v>
      </c>
      <c r="B44" s="114"/>
      <c r="C44" s="54" t="s">
        <v>48</v>
      </c>
      <c r="D44" s="43"/>
      <c r="E44" s="43"/>
      <c r="F44" s="43"/>
      <c r="G44" s="43"/>
      <c r="H44" s="43"/>
      <c r="I44" s="43"/>
      <c r="J44" s="43"/>
      <c r="K44" s="52"/>
    </row>
    <row r="45" spans="1:11" ht="15.6" x14ac:dyDescent="0.3">
      <c r="A45" s="114" t="s">
        <v>49</v>
      </c>
      <c r="B45" s="114"/>
      <c r="C45" s="54" t="s">
        <v>50</v>
      </c>
      <c r="D45" s="43"/>
      <c r="E45" s="43"/>
      <c r="F45" s="43"/>
      <c r="G45" s="43"/>
      <c r="H45" s="43"/>
      <c r="I45" s="43"/>
      <c r="J45" s="43"/>
      <c r="K45" s="52"/>
    </row>
    <row r="46" spans="1:11" ht="33" customHeight="1" x14ac:dyDescent="0.3">
      <c r="A46" s="114" t="s">
        <v>418</v>
      </c>
      <c r="B46" s="114"/>
      <c r="C46" s="54" t="s">
        <v>52</v>
      </c>
      <c r="D46" s="43">
        <v>83</v>
      </c>
      <c r="E46" s="43">
        <v>85</v>
      </c>
      <c r="F46" s="43">
        <f>F32</f>
        <v>88.25</v>
      </c>
      <c r="G46" s="43">
        <f>H46+I46+J46+K46</f>
        <v>75.73</v>
      </c>
      <c r="H46" s="43">
        <f>H32+H33</f>
        <v>25.830000000000002</v>
      </c>
      <c r="I46" s="43">
        <f t="shared" ref="I46:K46" si="3">I32+I33</f>
        <v>18.3</v>
      </c>
      <c r="J46" s="43">
        <f t="shared" si="3"/>
        <v>12.8</v>
      </c>
      <c r="K46" s="43">
        <f t="shared" si="3"/>
        <v>18.8</v>
      </c>
    </row>
    <row r="47" spans="1:11" ht="15.6" x14ac:dyDescent="0.3">
      <c r="A47" s="109" t="s">
        <v>53</v>
      </c>
      <c r="B47" s="109"/>
      <c r="C47" s="48">
        <v>7</v>
      </c>
      <c r="D47" s="42">
        <f>D31-D37</f>
        <v>152.4</v>
      </c>
      <c r="E47" s="42">
        <f>E31-E37</f>
        <v>172.10000000000002</v>
      </c>
      <c r="F47" s="42">
        <f t="shared" ref="F47:K47" si="4">F31-F37</f>
        <v>80.420000000000016</v>
      </c>
      <c r="G47" s="42">
        <f t="shared" si="4"/>
        <v>143.57999999999998</v>
      </c>
      <c r="H47" s="42">
        <f t="shared" si="4"/>
        <v>18.34</v>
      </c>
      <c r="I47" s="42">
        <f t="shared" si="4"/>
        <v>48.370000000000005</v>
      </c>
      <c r="J47" s="42">
        <f t="shared" si="4"/>
        <v>53.870000000000005</v>
      </c>
      <c r="K47" s="42">
        <f t="shared" si="4"/>
        <v>22.999999999999996</v>
      </c>
    </row>
    <row r="48" spans="1:11" ht="23.25" customHeight="1" x14ac:dyDescent="0.3">
      <c r="A48" s="109" t="s">
        <v>54</v>
      </c>
      <c r="B48" s="109"/>
      <c r="C48" s="48">
        <v>8</v>
      </c>
      <c r="D48" s="42">
        <f>SUM(D50:D78)</f>
        <v>12757.310000000001</v>
      </c>
      <c r="E48" s="42">
        <f>SUM(E50:E78)</f>
        <v>13427.7</v>
      </c>
      <c r="F48" s="42">
        <f t="shared" ref="F48:K48" si="5">SUM(F50:F78)</f>
        <v>15457.78</v>
      </c>
      <c r="G48" s="42">
        <f t="shared" si="5"/>
        <v>20799.100999999999</v>
      </c>
      <c r="H48" s="42">
        <f t="shared" si="5"/>
        <v>5305.4450000000006</v>
      </c>
      <c r="I48" s="42">
        <f t="shared" si="5"/>
        <v>5173.2450000000008</v>
      </c>
      <c r="J48" s="42">
        <f t="shared" si="5"/>
        <v>4794.2939999999999</v>
      </c>
      <c r="K48" s="42">
        <f t="shared" si="5"/>
        <v>5526.1170000000002</v>
      </c>
    </row>
    <row r="49" spans="1:11" ht="15.6" x14ac:dyDescent="0.3">
      <c r="A49" s="114" t="s">
        <v>55</v>
      </c>
      <c r="B49" s="114"/>
      <c r="C49" s="53"/>
      <c r="D49" s="43"/>
      <c r="E49" s="43"/>
      <c r="F49" s="43"/>
      <c r="G49" s="43"/>
      <c r="H49" s="43"/>
      <c r="I49" s="43"/>
      <c r="J49" s="43"/>
      <c r="K49" s="52"/>
    </row>
    <row r="50" spans="1:11" ht="15.6" x14ac:dyDescent="0.3">
      <c r="A50" s="114" t="s">
        <v>56</v>
      </c>
      <c r="B50" s="114"/>
      <c r="C50" s="54" t="s">
        <v>57</v>
      </c>
      <c r="D50" s="43"/>
      <c r="E50" s="43"/>
      <c r="F50" s="43"/>
      <c r="G50" s="43">
        <f>H50+I50+J50+K50</f>
        <v>0</v>
      </c>
      <c r="H50" s="43"/>
      <c r="I50" s="43"/>
      <c r="J50" s="43"/>
      <c r="K50" s="52"/>
    </row>
    <row r="51" spans="1:11" ht="15.6" x14ac:dyDescent="0.3">
      <c r="A51" s="114" t="s">
        <v>58</v>
      </c>
      <c r="B51" s="114"/>
      <c r="C51" s="54" t="s">
        <v>59</v>
      </c>
      <c r="D51" s="43">
        <v>34.200000000000003</v>
      </c>
      <c r="E51" s="43">
        <v>36</v>
      </c>
      <c r="F51" s="43">
        <v>36</v>
      </c>
      <c r="G51" s="43">
        <f t="shared" ref="G51:G79" si="6">H51+I51+J51+K51</f>
        <v>36</v>
      </c>
      <c r="H51" s="43">
        <v>9</v>
      </c>
      <c r="I51" s="43">
        <v>9</v>
      </c>
      <c r="J51" s="43">
        <v>9</v>
      </c>
      <c r="K51" s="52">
        <v>9</v>
      </c>
    </row>
    <row r="52" spans="1:11" ht="15.6" x14ac:dyDescent="0.3">
      <c r="A52" s="114" t="s">
        <v>60</v>
      </c>
      <c r="B52" s="114"/>
      <c r="C52" s="54" t="s">
        <v>61</v>
      </c>
      <c r="D52" s="43"/>
      <c r="E52" s="43"/>
      <c r="F52" s="43"/>
      <c r="G52" s="43">
        <f t="shared" si="6"/>
        <v>0</v>
      </c>
      <c r="H52" s="43"/>
      <c r="I52" s="43"/>
      <c r="J52" s="43"/>
      <c r="K52" s="52"/>
    </row>
    <row r="53" spans="1:11" ht="15.6" x14ac:dyDescent="0.3">
      <c r="A53" s="114" t="s">
        <v>62</v>
      </c>
      <c r="B53" s="114"/>
      <c r="C53" s="54" t="s">
        <v>63</v>
      </c>
      <c r="D53" s="43"/>
      <c r="E53" s="43"/>
      <c r="F53" s="43"/>
      <c r="G53" s="43">
        <f t="shared" si="6"/>
        <v>0</v>
      </c>
      <c r="H53" s="43"/>
      <c r="I53" s="43"/>
      <c r="J53" s="43"/>
      <c r="K53" s="52"/>
    </row>
    <row r="54" spans="1:11" ht="15.6" x14ac:dyDescent="0.3">
      <c r="A54" s="114" t="s">
        <v>419</v>
      </c>
      <c r="B54" s="114"/>
      <c r="C54" s="54" t="s">
        <v>65</v>
      </c>
      <c r="D54" s="43">
        <v>60</v>
      </c>
      <c r="E54" s="43">
        <v>65</v>
      </c>
      <c r="F54" s="43">
        <v>70</v>
      </c>
      <c r="G54" s="43">
        <f t="shared" si="6"/>
        <v>90</v>
      </c>
      <c r="H54" s="43">
        <v>30</v>
      </c>
      <c r="I54" s="43">
        <v>20</v>
      </c>
      <c r="J54" s="43">
        <v>20</v>
      </c>
      <c r="K54" s="52">
        <v>20</v>
      </c>
    </row>
    <row r="55" spans="1:11" ht="15.6" x14ac:dyDescent="0.3">
      <c r="A55" s="114" t="s">
        <v>66</v>
      </c>
      <c r="B55" s="114"/>
      <c r="C55" s="54" t="s">
        <v>67</v>
      </c>
      <c r="D55" s="43"/>
      <c r="E55" s="43"/>
      <c r="F55" s="43"/>
      <c r="G55" s="43">
        <f t="shared" si="6"/>
        <v>0</v>
      </c>
      <c r="H55" s="43"/>
      <c r="I55" s="55"/>
      <c r="J55" s="55"/>
      <c r="K55" s="52"/>
    </row>
    <row r="56" spans="1:11" ht="15.6" x14ac:dyDescent="0.3">
      <c r="A56" s="114" t="s">
        <v>68</v>
      </c>
      <c r="B56" s="114"/>
      <c r="C56" s="54" t="s">
        <v>69</v>
      </c>
      <c r="D56" s="43">
        <v>4.3</v>
      </c>
      <c r="E56" s="43">
        <v>4.8</v>
      </c>
      <c r="F56" s="43">
        <v>4.8</v>
      </c>
      <c r="G56" s="43">
        <f t="shared" si="6"/>
        <v>5</v>
      </c>
      <c r="H56" s="56">
        <v>1.25</v>
      </c>
      <c r="I56" s="56">
        <v>1.25</v>
      </c>
      <c r="J56" s="56">
        <v>1.25</v>
      </c>
      <c r="K56" s="57">
        <v>1.25</v>
      </c>
    </row>
    <row r="57" spans="1:11" ht="15.6" x14ac:dyDescent="0.3">
      <c r="A57" s="114" t="s">
        <v>43</v>
      </c>
      <c r="B57" s="114"/>
      <c r="C57" s="54" t="s">
        <v>70</v>
      </c>
      <c r="D57" s="43">
        <v>4860</v>
      </c>
      <c r="E57" s="43">
        <v>5505.6</v>
      </c>
      <c r="F57" s="43">
        <f>F253</f>
        <v>7019.5300000000007</v>
      </c>
      <c r="G57" s="43">
        <f t="shared" si="6"/>
        <v>12633.550000000001</v>
      </c>
      <c r="H57" s="56">
        <f>H253</f>
        <v>3158.25</v>
      </c>
      <c r="I57" s="56">
        <f>I249</f>
        <v>3158.25</v>
      </c>
      <c r="J57" s="56">
        <f>J253</f>
        <v>3158.7</v>
      </c>
      <c r="K57" s="57">
        <f>K253</f>
        <v>3158.35</v>
      </c>
    </row>
    <row r="58" spans="1:11" ht="15.6" x14ac:dyDescent="0.3">
      <c r="A58" s="114" t="s">
        <v>45</v>
      </c>
      <c r="B58" s="114"/>
      <c r="C58" s="54" t="s">
        <v>71</v>
      </c>
      <c r="D58" s="43">
        <v>1065.0999999999999</v>
      </c>
      <c r="E58" s="43">
        <v>1211.2</v>
      </c>
      <c r="F58" s="43">
        <v>1453.05</v>
      </c>
      <c r="G58" s="43">
        <f t="shared" si="6"/>
        <v>2779.3809999999999</v>
      </c>
      <c r="H58" s="43">
        <f>H57*0.22</f>
        <v>694.81500000000005</v>
      </c>
      <c r="I58" s="43">
        <f t="shared" ref="I58:K58" si="7">I57*0.22</f>
        <v>694.81500000000005</v>
      </c>
      <c r="J58" s="43">
        <f t="shared" si="7"/>
        <v>694.91399999999999</v>
      </c>
      <c r="K58" s="43">
        <f t="shared" si="7"/>
        <v>694.83699999999999</v>
      </c>
    </row>
    <row r="59" spans="1:11" ht="15.6" x14ac:dyDescent="0.3">
      <c r="A59" s="114" t="s">
        <v>72</v>
      </c>
      <c r="B59" s="114"/>
      <c r="C59" s="54" t="s">
        <v>73</v>
      </c>
      <c r="D59" s="43">
        <v>6392.6</v>
      </c>
      <c r="E59" s="43">
        <v>6192.1</v>
      </c>
      <c r="F59" s="43">
        <v>6501.4</v>
      </c>
      <c r="G59" s="43">
        <f t="shared" si="6"/>
        <v>4674.54</v>
      </c>
      <c r="H59" s="56">
        <f>2000-400-300-50</f>
        <v>1250</v>
      </c>
      <c r="I59" s="56">
        <f>1800-400-200-50</f>
        <v>1150</v>
      </c>
      <c r="J59" s="56">
        <f>1300-400-100-30</f>
        <v>770</v>
      </c>
      <c r="K59" s="57">
        <f>1904.54-400</f>
        <v>1504.54</v>
      </c>
    </row>
    <row r="60" spans="1:11" ht="15.6" x14ac:dyDescent="0.3">
      <c r="A60" s="114" t="s">
        <v>74</v>
      </c>
      <c r="B60" s="114"/>
      <c r="C60" s="54" t="s">
        <v>75</v>
      </c>
      <c r="D60" s="43"/>
      <c r="E60" s="43"/>
      <c r="F60" s="43"/>
      <c r="G60" s="43">
        <f t="shared" si="6"/>
        <v>0</v>
      </c>
      <c r="H60" s="43"/>
      <c r="I60" s="55"/>
      <c r="J60" s="55"/>
      <c r="K60" s="52"/>
    </row>
    <row r="61" spans="1:11" ht="33.75" customHeight="1" x14ac:dyDescent="0.3">
      <c r="A61" s="114" t="s">
        <v>420</v>
      </c>
      <c r="B61" s="114"/>
      <c r="C61" s="54" t="s">
        <v>77</v>
      </c>
      <c r="D61" s="43">
        <v>3.7</v>
      </c>
      <c r="E61" s="43">
        <v>7</v>
      </c>
      <c r="F61" s="43">
        <v>7</v>
      </c>
      <c r="G61" s="43">
        <f t="shared" si="6"/>
        <v>8</v>
      </c>
      <c r="H61" s="56">
        <v>3</v>
      </c>
      <c r="I61" s="56">
        <v>2</v>
      </c>
      <c r="J61" s="56">
        <v>3</v>
      </c>
      <c r="K61" s="57">
        <v>0</v>
      </c>
    </row>
    <row r="62" spans="1:11" ht="21.75" customHeight="1" x14ac:dyDescent="0.3">
      <c r="A62" s="114" t="s">
        <v>78</v>
      </c>
      <c r="B62" s="114"/>
      <c r="C62" s="54" t="s">
        <v>79</v>
      </c>
      <c r="D62" s="43"/>
      <c r="E62" s="43"/>
      <c r="F62" s="43"/>
      <c r="G62" s="43">
        <f t="shared" si="6"/>
        <v>0</v>
      </c>
      <c r="H62" s="43"/>
      <c r="I62" s="55"/>
      <c r="J62" s="55"/>
      <c r="K62" s="52"/>
    </row>
    <row r="63" spans="1:11" ht="15.6" x14ac:dyDescent="0.3">
      <c r="A63" s="114" t="s">
        <v>80</v>
      </c>
      <c r="B63" s="114"/>
      <c r="C63" s="54" t="s">
        <v>81</v>
      </c>
      <c r="D63" s="43"/>
      <c r="E63" s="43"/>
      <c r="F63" s="43"/>
      <c r="G63" s="43">
        <f t="shared" si="6"/>
        <v>0</v>
      </c>
      <c r="H63" s="43"/>
      <c r="I63" s="55"/>
      <c r="J63" s="55"/>
      <c r="K63" s="52"/>
    </row>
    <row r="64" spans="1:11" ht="15.6" x14ac:dyDescent="0.3">
      <c r="A64" s="114" t="s">
        <v>421</v>
      </c>
      <c r="B64" s="114"/>
      <c r="C64" s="54" t="s">
        <v>83</v>
      </c>
      <c r="D64" s="43">
        <v>7</v>
      </c>
      <c r="E64" s="43">
        <v>1</v>
      </c>
      <c r="F64" s="43">
        <v>1</v>
      </c>
      <c r="G64" s="43">
        <f t="shared" si="6"/>
        <v>5</v>
      </c>
      <c r="H64" s="43">
        <v>5</v>
      </c>
      <c r="I64" s="56">
        <v>0</v>
      </c>
      <c r="J64" s="56">
        <v>0</v>
      </c>
      <c r="K64" s="57">
        <v>0</v>
      </c>
    </row>
    <row r="65" spans="1:11" ht="15.6" x14ac:dyDescent="0.3">
      <c r="A65" s="114" t="s">
        <v>84</v>
      </c>
      <c r="B65" s="114"/>
      <c r="C65" s="54" t="s">
        <v>85</v>
      </c>
      <c r="D65" s="43"/>
      <c r="E65" s="43"/>
      <c r="F65" s="43"/>
      <c r="G65" s="43">
        <f t="shared" si="6"/>
        <v>0</v>
      </c>
      <c r="H65" s="43"/>
      <c r="I65" s="56"/>
      <c r="J65" s="56"/>
      <c r="K65" s="57"/>
    </row>
    <row r="66" spans="1:11" ht="15.6" x14ac:dyDescent="0.3">
      <c r="A66" s="114" t="s">
        <v>86</v>
      </c>
      <c r="B66" s="114"/>
      <c r="C66" s="54" t="s">
        <v>87</v>
      </c>
      <c r="D66" s="43">
        <v>4.3</v>
      </c>
      <c r="E66" s="43">
        <v>5</v>
      </c>
      <c r="F66" s="43">
        <v>5</v>
      </c>
      <c r="G66" s="43">
        <f t="shared" si="6"/>
        <v>6</v>
      </c>
      <c r="H66" s="43">
        <v>6</v>
      </c>
      <c r="I66" s="56">
        <v>0</v>
      </c>
      <c r="J66" s="56">
        <v>0</v>
      </c>
      <c r="K66" s="57">
        <v>0</v>
      </c>
    </row>
    <row r="67" spans="1:11" ht="15.6" x14ac:dyDescent="0.3">
      <c r="A67" s="114" t="s">
        <v>88</v>
      </c>
      <c r="B67" s="114"/>
      <c r="C67" s="54" t="s">
        <v>89</v>
      </c>
      <c r="D67" s="43"/>
      <c r="E67" s="43"/>
      <c r="F67" s="43"/>
      <c r="G67" s="43">
        <f t="shared" si="6"/>
        <v>0</v>
      </c>
      <c r="H67" s="43"/>
      <c r="I67" s="55"/>
      <c r="J67" s="55"/>
      <c r="K67" s="52"/>
    </row>
    <row r="68" spans="1:11" ht="15.6" x14ac:dyDescent="0.3">
      <c r="A68" s="114" t="s">
        <v>90</v>
      </c>
      <c r="B68" s="114"/>
      <c r="C68" s="54" t="s">
        <v>91</v>
      </c>
      <c r="D68" s="43"/>
      <c r="E68" s="43"/>
      <c r="F68" s="43"/>
      <c r="G68" s="43">
        <f t="shared" si="6"/>
        <v>0</v>
      </c>
      <c r="H68" s="43"/>
      <c r="I68" s="55"/>
      <c r="J68" s="55"/>
      <c r="K68" s="52"/>
    </row>
    <row r="69" spans="1:11" ht="15.6" x14ac:dyDescent="0.3">
      <c r="A69" s="114" t="s">
        <v>37</v>
      </c>
      <c r="B69" s="114"/>
      <c r="C69" s="54" t="s">
        <v>92</v>
      </c>
      <c r="D69" s="43">
        <v>271.61</v>
      </c>
      <c r="E69" s="43">
        <v>350</v>
      </c>
      <c r="F69" s="43">
        <v>310</v>
      </c>
      <c r="G69" s="56">
        <f t="shared" si="6"/>
        <v>472.53</v>
      </c>
      <c r="H69" s="56">
        <v>118.13</v>
      </c>
      <c r="I69" s="56">
        <v>118.13</v>
      </c>
      <c r="J69" s="56">
        <v>118.13</v>
      </c>
      <c r="K69" s="57">
        <v>118.14</v>
      </c>
    </row>
    <row r="70" spans="1:11" ht="15.6" x14ac:dyDescent="0.3">
      <c r="A70" s="114" t="s">
        <v>39</v>
      </c>
      <c r="B70" s="114"/>
      <c r="C70" s="54" t="s">
        <v>93</v>
      </c>
      <c r="D70" s="43"/>
      <c r="E70" s="43"/>
      <c r="F70" s="43"/>
      <c r="G70" s="43">
        <f t="shared" si="6"/>
        <v>0</v>
      </c>
      <c r="H70" s="43"/>
      <c r="I70" s="55"/>
      <c r="J70" s="55"/>
      <c r="K70" s="52"/>
    </row>
    <row r="71" spans="1:11" ht="15.6" x14ac:dyDescent="0.3">
      <c r="A71" s="114" t="s">
        <v>41</v>
      </c>
      <c r="B71" s="114"/>
      <c r="C71" s="54" t="s">
        <v>94</v>
      </c>
      <c r="D71" s="43"/>
      <c r="E71" s="43"/>
      <c r="F71" s="43"/>
      <c r="G71" s="43">
        <f t="shared" si="6"/>
        <v>0</v>
      </c>
      <c r="H71" s="43"/>
      <c r="I71" s="55"/>
      <c r="J71" s="55"/>
      <c r="K71" s="52"/>
    </row>
    <row r="72" spans="1:11" ht="15.6" x14ac:dyDescent="0.3">
      <c r="A72" s="114" t="s">
        <v>95</v>
      </c>
      <c r="B72" s="114"/>
      <c r="C72" s="54" t="s">
        <v>96</v>
      </c>
      <c r="D72" s="43"/>
      <c r="E72" s="43"/>
      <c r="F72" s="43"/>
      <c r="G72" s="43">
        <f t="shared" si="6"/>
        <v>0</v>
      </c>
      <c r="H72" s="43"/>
      <c r="I72" s="55"/>
      <c r="J72" s="55"/>
      <c r="K72" s="52"/>
    </row>
    <row r="73" spans="1:11" ht="15.6" x14ac:dyDescent="0.3">
      <c r="A73" s="114" t="s">
        <v>97</v>
      </c>
      <c r="B73" s="114"/>
      <c r="C73" s="54" t="s">
        <v>98</v>
      </c>
      <c r="D73" s="43"/>
      <c r="E73" s="43"/>
      <c r="F73" s="43"/>
      <c r="G73" s="43">
        <f t="shared" si="6"/>
        <v>0</v>
      </c>
      <c r="H73" s="43"/>
      <c r="I73" s="55"/>
      <c r="J73" s="55"/>
      <c r="K73" s="52"/>
    </row>
    <row r="74" spans="1:11" ht="15.6" x14ac:dyDescent="0.3">
      <c r="A74" s="114" t="s">
        <v>99</v>
      </c>
      <c r="B74" s="114"/>
      <c r="C74" s="54" t="s">
        <v>100</v>
      </c>
      <c r="D74" s="43">
        <v>2.5</v>
      </c>
      <c r="E74" s="43">
        <v>3.3</v>
      </c>
      <c r="F74" s="43">
        <v>3.3</v>
      </c>
      <c r="G74" s="43">
        <f t="shared" si="6"/>
        <v>3.6</v>
      </c>
      <c r="H74" s="56">
        <v>1</v>
      </c>
      <c r="I74" s="56">
        <v>0.8</v>
      </c>
      <c r="J74" s="56">
        <v>0.8</v>
      </c>
      <c r="K74" s="57">
        <v>1</v>
      </c>
    </row>
    <row r="75" spans="1:11" ht="15.6" x14ac:dyDescent="0.3">
      <c r="A75" s="114" t="s">
        <v>101</v>
      </c>
      <c r="B75" s="114"/>
      <c r="C75" s="54" t="s">
        <v>102</v>
      </c>
      <c r="D75" s="43">
        <v>20</v>
      </c>
      <c r="E75" s="43">
        <v>16.2</v>
      </c>
      <c r="F75" s="43">
        <v>16.2</v>
      </c>
      <c r="G75" s="43">
        <f t="shared" si="6"/>
        <v>16.5</v>
      </c>
      <c r="H75" s="43">
        <v>4</v>
      </c>
      <c r="I75" s="43">
        <v>4</v>
      </c>
      <c r="J75" s="43">
        <v>3.5</v>
      </c>
      <c r="K75" s="52">
        <v>5</v>
      </c>
    </row>
    <row r="76" spans="1:11" ht="15.6" x14ac:dyDescent="0.3">
      <c r="A76" s="114" t="s">
        <v>103</v>
      </c>
      <c r="B76" s="114"/>
      <c r="C76" s="54" t="s">
        <v>104</v>
      </c>
      <c r="D76" s="43"/>
      <c r="E76" s="43"/>
      <c r="F76" s="43"/>
      <c r="G76" s="43">
        <f t="shared" si="6"/>
        <v>0</v>
      </c>
      <c r="H76" s="43"/>
      <c r="I76" s="43"/>
      <c r="J76" s="43"/>
      <c r="K76" s="52"/>
    </row>
    <row r="77" spans="1:11" ht="15.6" x14ac:dyDescent="0.3">
      <c r="A77" s="114" t="s">
        <v>105</v>
      </c>
      <c r="B77" s="114"/>
      <c r="C77" s="54" t="s">
        <v>106</v>
      </c>
      <c r="D77" s="43">
        <v>17.5</v>
      </c>
      <c r="E77" s="43">
        <v>18.5</v>
      </c>
      <c r="F77" s="43">
        <v>18.5</v>
      </c>
      <c r="G77" s="43">
        <f t="shared" si="6"/>
        <v>20</v>
      </c>
      <c r="H77" s="43">
        <v>5</v>
      </c>
      <c r="I77" s="43">
        <v>5</v>
      </c>
      <c r="J77" s="43">
        <v>5</v>
      </c>
      <c r="K77" s="52">
        <v>5</v>
      </c>
    </row>
    <row r="78" spans="1:11" ht="32.25" customHeight="1" x14ac:dyDescent="0.3">
      <c r="A78" s="114" t="s">
        <v>426</v>
      </c>
      <c r="B78" s="114"/>
      <c r="C78" s="54" t="s">
        <v>108</v>
      </c>
      <c r="D78" s="43">
        <v>14.5</v>
      </c>
      <c r="E78" s="43">
        <v>12</v>
      </c>
      <c r="F78" s="43">
        <v>12</v>
      </c>
      <c r="G78" s="43">
        <f t="shared" si="6"/>
        <v>49</v>
      </c>
      <c r="H78" s="43">
        <v>20</v>
      </c>
      <c r="I78" s="43">
        <v>10</v>
      </c>
      <c r="J78" s="43">
        <v>10</v>
      </c>
      <c r="K78" s="52">
        <v>9</v>
      </c>
    </row>
    <row r="79" spans="1:11" ht="15.6" x14ac:dyDescent="0.3">
      <c r="A79" s="109" t="s">
        <v>109</v>
      </c>
      <c r="B79" s="109"/>
      <c r="C79" s="48">
        <v>9</v>
      </c>
      <c r="D79" s="42">
        <f>SUM(D80:D86)</f>
        <v>0</v>
      </c>
      <c r="E79" s="42">
        <f t="shared" ref="E79:K79" si="8">SUM(E80:E86)</f>
        <v>0</v>
      </c>
      <c r="F79" s="42">
        <f t="shared" si="8"/>
        <v>0</v>
      </c>
      <c r="G79" s="43">
        <f t="shared" si="6"/>
        <v>0</v>
      </c>
      <c r="H79" s="42">
        <f t="shared" si="8"/>
        <v>0</v>
      </c>
      <c r="I79" s="42">
        <f t="shared" si="8"/>
        <v>0</v>
      </c>
      <c r="J79" s="42">
        <f t="shared" si="8"/>
        <v>0</v>
      </c>
      <c r="K79" s="42">
        <f t="shared" si="8"/>
        <v>0</v>
      </c>
    </row>
    <row r="80" spans="1:11" ht="15.6" x14ac:dyDescent="0.3">
      <c r="A80" s="114" t="s">
        <v>110</v>
      </c>
      <c r="B80" s="114"/>
      <c r="C80" s="54" t="s">
        <v>111</v>
      </c>
      <c r="D80" s="43"/>
      <c r="E80" s="43"/>
      <c r="F80" s="43"/>
      <c r="G80" s="43"/>
      <c r="H80" s="43"/>
      <c r="I80" s="43"/>
      <c r="J80" s="43"/>
      <c r="K80" s="52"/>
    </row>
    <row r="81" spans="1:11" ht="15.6" x14ac:dyDescent="0.3">
      <c r="A81" s="114" t="s">
        <v>112</v>
      </c>
      <c r="B81" s="114"/>
      <c r="C81" s="54" t="s">
        <v>113</v>
      </c>
      <c r="D81" s="43"/>
      <c r="E81" s="43"/>
      <c r="F81" s="43"/>
      <c r="G81" s="43"/>
      <c r="H81" s="43"/>
      <c r="I81" s="43"/>
      <c r="J81" s="43"/>
      <c r="K81" s="52"/>
    </row>
    <row r="82" spans="1:11" ht="15.6" x14ac:dyDescent="0.3">
      <c r="A82" s="114" t="s">
        <v>43</v>
      </c>
      <c r="B82" s="114"/>
      <c r="C82" s="54" t="s">
        <v>114</v>
      </c>
      <c r="D82" s="43"/>
      <c r="E82" s="43"/>
      <c r="F82" s="43"/>
      <c r="G82" s="43"/>
      <c r="H82" s="43"/>
      <c r="I82" s="43"/>
      <c r="J82" s="43"/>
      <c r="K82" s="52"/>
    </row>
    <row r="83" spans="1:11" ht="15.6" x14ac:dyDescent="0.3">
      <c r="A83" s="114" t="s">
        <v>115</v>
      </c>
      <c r="B83" s="114"/>
      <c r="C83" s="54" t="s">
        <v>116</v>
      </c>
      <c r="D83" s="43"/>
      <c r="E83" s="43"/>
      <c r="F83" s="43"/>
      <c r="G83" s="43"/>
      <c r="H83" s="43"/>
      <c r="I83" s="43"/>
      <c r="J83" s="43"/>
      <c r="K83" s="52"/>
    </row>
    <row r="84" spans="1:11" ht="15.6" x14ac:dyDescent="0.3">
      <c r="A84" s="114" t="s">
        <v>117</v>
      </c>
      <c r="B84" s="114"/>
      <c r="C84" s="54" t="s">
        <v>118</v>
      </c>
      <c r="D84" s="43"/>
      <c r="E84" s="43"/>
      <c r="F84" s="43"/>
      <c r="G84" s="43"/>
      <c r="H84" s="43"/>
      <c r="I84" s="43"/>
      <c r="J84" s="43"/>
      <c r="K84" s="52"/>
    </row>
    <row r="85" spans="1:11" ht="15.6" x14ac:dyDescent="0.3">
      <c r="A85" s="114" t="s">
        <v>119</v>
      </c>
      <c r="B85" s="114"/>
      <c r="C85" s="54" t="s">
        <v>120</v>
      </c>
      <c r="D85" s="43"/>
      <c r="E85" s="43"/>
      <c r="F85" s="43"/>
      <c r="G85" s="43"/>
      <c r="H85" s="43"/>
      <c r="I85" s="43"/>
      <c r="J85" s="43"/>
      <c r="K85" s="52"/>
    </row>
    <row r="86" spans="1:11" ht="15.6" x14ac:dyDescent="0.3">
      <c r="A86" s="114" t="s">
        <v>121</v>
      </c>
      <c r="B86" s="114"/>
      <c r="C86" s="54" t="s">
        <v>122</v>
      </c>
      <c r="D86" s="43"/>
      <c r="E86" s="43"/>
      <c r="F86" s="43"/>
      <c r="G86" s="43"/>
      <c r="H86" s="43"/>
      <c r="I86" s="43"/>
      <c r="J86" s="43"/>
      <c r="K86" s="52"/>
    </row>
    <row r="87" spans="1:11" ht="15.6" x14ac:dyDescent="0.3">
      <c r="A87" s="109" t="s">
        <v>123</v>
      </c>
      <c r="B87" s="109"/>
      <c r="C87" s="48">
        <v>10</v>
      </c>
      <c r="D87" s="42">
        <f>SUM(D88:D92)</f>
        <v>14346.1</v>
      </c>
      <c r="E87" s="42">
        <f t="shared" ref="E87:K87" si="9">SUM(E88:E92)</f>
        <v>15135</v>
      </c>
      <c r="F87" s="42">
        <f t="shared" si="9"/>
        <v>18142.16</v>
      </c>
      <c r="G87" s="42">
        <f t="shared" si="9"/>
        <v>22880.53</v>
      </c>
      <c r="H87" s="42">
        <f t="shared" si="9"/>
        <v>5953.67</v>
      </c>
      <c r="I87" s="42">
        <f t="shared" si="9"/>
        <v>5832.47</v>
      </c>
      <c r="J87" s="42">
        <f t="shared" si="9"/>
        <v>5387.9800000000005</v>
      </c>
      <c r="K87" s="42">
        <f t="shared" si="9"/>
        <v>5706.41</v>
      </c>
    </row>
    <row r="88" spans="1:11" ht="15.6" x14ac:dyDescent="0.3">
      <c r="A88" s="116" t="s">
        <v>124</v>
      </c>
      <c r="B88" s="116"/>
      <c r="C88" s="54" t="s">
        <v>125</v>
      </c>
      <c r="D88" s="43"/>
      <c r="E88" s="43"/>
      <c r="F88" s="43"/>
      <c r="G88" s="43"/>
      <c r="H88" s="43"/>
      <c r="I88" s="43"/>
      <c r="J88" s="43"/>
      <c r="K88" s="52"/>
    </row>
    <row r="89" spans="1:11" ht="15.6" x14ac:dyDescent="0.3">
      <c r="A89" s="116" t="s">
        <v>126</v>
      </c>
      <c r="B89" s="116"/>
      <c r="C89" s="54" t="s">
        <v>127</v>
      </c>
      <c r="D89" s="43"/>
      <c r="E89" s="43"/>
      <c r="F89" s="43"/>
      <c r="G89" s="43"/>
      <c r="H89" s="43"/>
      <c r="I89" s="43"/>
      <c r="J89" s="43"/>
      <c r="K89" s="52"/>
    </row>
    <row r="90" spans="1:11" ht="15.6" x14ac:dyDescent="0.3">
      <c r="A90" s="116" t="s">
        <v>128</v>
      </c>
      <c r="B90" s="116"/>
      <c r="C90" s="54" t="s">
        <v>129</v>
      </c>
      <c r="D90" s="43"/>
      <c r="E90" s="43"/>
      <c r="F90" s="43"/>
      <c r="G90" s="43"/>
      <c r="H90" s="43"/>
      <c r="I90" s="43"/>
      <c r="J90" s="43"/>
      <c r="K90" s="52"/>
    </row>
    <row r="91" spans="1:11" ht="15.6" x14ac:dyDescent="0.3">
      <c r="A91" s="116" t="s">
        <v>130</v>
      </c>
      <c r="B91" s="116"/>
      <c r="C91" s="54" t="s">
        <v>131</v>
      </c>
      <c r="D91" s="43"/>
      <c r="E91" s="43"/>
      <c r="F91" s="43"/>
      <c r="G91" s="43"/>
      <c r="H91" s="43"/>
      <c r="I91" s="43"/>
      <c r="J91" s="43"/>
      <c r="K91" s="52"/>
    </row>
    <row r="92" spans="1:11" ht="15.6" x14ac:dyDescent="0.3">
      <c r="A92" s="116" t="s">
        <v>423</v>
      </c>
      <c r="B92" s="116"/>
      <c r="C92" s="54" t="s">
        <v>133</v>
      </c>
      <c r="D92" s="43">
        <v>14346.1</v>
      </c>
      <c r="E92" s="43">
        <v>15135</v>
      </c>
      <c r="F92" s="43">
        <f>15243.21+2898.95</f>
        <v>18142.16</v>
      </c>
      <c r="G92" s="43">
        <f>H92+I92+J92+K92</f>
        <v>22880.53</v>
      </c>
      <c r="H92" s="43">
        <f>6074.62+279.05-400</f>
        <v>5953.67</v>
      </c>
      <c r="I92" s="43">
        <f>5953.42+279.05-400</f>
        <v>5832.47</v>
      </c>
      <c r="J92" s="43">
        <f>5553.93+279.05-400-45</f>
        <v>5387.9800000000005</v>
      </c>
      <c r="K92" s="52">
        <f>5827.36+279.05-400</f>
        <v>5706.41</v>
      </c>
    </row>
    <row r="93" spans="1:11" ht="34.5" customHeight="1" x14ac:dyDescent="0.3">
      <c r="A93" s="117" t="s">
        <v>134</v>
      </c>
      <c r="B93" s="117"/>
      <c r="C93" s="58" t="s">
        <v>135</v>
      </c>
      <c r="D93" s="43"/>
      <c r="E93" s="43"/>
      <c r="F93" s="43"/>
      <c r="G93" s="43"/>
      <c r="H93" s="43"/>
      <c r="I93" s="43"/>
      <c r="J93" s="43"/>
      <c r="K93" s="52"/>
    </row>
    <row r="94" spans="1:11" ht="15.6" x14ac:dyDescent="0.3">
      <c r="A94" s="116" t="s">
        <v>136</v>
      </c>
      <c r="B94" s="116"/>
      <c r="C94" s="54" t="s">
        <v>137</v>
      </c>
      <c r="D94" s="43"/>
      <c r="E94" s="43"/>
      <c r="F94" s="43"/>
      <c r="G94" s="43"/>
      <c r="H94" s="43"/>
      <c r="I94" s="43"/>
      <c r="J94" s="43"/>
      <c r="K94" s="52"/>
    </row>
    <row r="95" spans="1:11" ht="23.25" customHeight="1" x14ac:dyDescent="0.3">
      <c r="A95" s="117" t="s">
        <v>138</v>
      </c>
      <c r="B95" s="117"/>
      <c r="C95" s="58" t="s">
        <v>139</v>
      </c>
      <c r="D95" s="43"/>
      <c r="E95" s="43"/>
      <c r="F95" s="43"/>
      <c r="G95" s="43"/>
      <c r="H95" s="43"/>
      <c r="I95" s="43"/>
      <c r="J95" s="43"/>
      <c r="K95" s="52"/>
    </row>
    <row r="96" spans="1:11" ht="15.6" x14ac:dyDescent="0.3">
      <c r="A96" s="116" t="s">
        <v>136</v>
      </c>
      <c r="B96" s="116"/>
      <c r="C96" s="54" t="s">
        <v>140</v>
      </c>
      <c r="D96" s="43"/>
      <c r="E96" s="43"/>
      <c r="F96" s="43"/>
      <c r="G96" s="43"/>
      <c r="H96" s="43"/>
      <c r="I96" s="43"/>
      <c r="J96" s="43"/>
      <c r="K96" s="52"/>
    </row>
    <row r="97" spans="1:11" ht="16.5" customHeight="1" x14ac:dyDescent="0.3">
      <c r="A97" s="109" t="s">
        <v>141</v>
      </c>
      <c r="B97" s="109"/>
      <c r="C97" s="48">
        <v>13</v>
      </c>
      <c r="D97" s="42">
        <f>SUM(D98:D106)</f>
        <v>4936.79</v>
      </c>
      <c r="E97" s="42">
        <f t="shared" ref="E97:K97" si="10">SUM(E98:E106)</f>
        <v>5303.6</v>
      </c>
      <c r="F97" s="42">
        <f t="shared" si="10"/>
        <v>8218.17</v>
      </c>
      <c r="G97" s="42">
        <f t="shared" si="10"/>
        <v>5033.62</v>
      </c>
      <c r="H97" s="42">
        <f t="shared" si="10"/>
        <v>1223.75</v>
      </c>
      <c r="I97" s="42">
        <f t="shared" si="10"/>
        <v>1323.75</v>
      </c>
      <c r="J97" s="42">
        <f t="shared" si="10"/>
        <v>1323.75</v>
      </c>
      <c r="K97" s="42">
        <f t="shared" si="10"/>
        <v>1162.3699999999999</v>
      </c>
    </row>
    <row r="98" spans="1:11" ht="15.6" x14ac:dyDescent="0.3">
      <c r="A98" s="116" t="s">
        <v>142</v>
      </c>
      <c r="B98" s="116"/>
      <c r="C98" s="54" t="s">
        <v>143</v>
      </c>
      <c r="D98" s="43"/>
      <c r="E98" s="43"/>
      <c r="F98" s="43"/>
      <c r="G98" s="43"/>
      <c r="H98" s="43"/>
      <c r="I98" s="43"/>
      <c r="J98" s="43"/>
      <c r="K98" s="52"/>
    </row>
    <row r="99" spans="1:11" ht="15.6" x14ac:dyDescent="0.3">
      <c r="A99" s="116" t="s">
        <v>144</v>
      </c>
      <c r="B99" s="116"/>
      <c r="C99" s="54" t="s">
        <v>145</v>
      </c>
      <c r="D99" s="43"/>
      <c r="E99" s="43"/>
      <c r="F99" s="43"/>
      <c r="G99" s="43"/>
      <c r="H99" s="43"/>
      <c r="I99" s="43"/>
      <c r="J99" s="43"/>
      <c r="K99" s="52"/>
    </row>
    <row r="100" spans="1:11" ht="15.6" x14ac:dyDescent="0.3">
      <c r="A100" s="116" t="s">
        <v>146</v>
      </c>
      <c r="B100" s="116"/>
      <c r="C100" s="54" t="s">
        <v>147</v>
      </c>
      <c r="D100" s="43"/>
      <c r="E100" s="43"/>
      <c r="F100" s="43"/>
      <c r="G100" s="43"/>
      <c r="H100" s="43"/>
      <c r="I100" s="43"/>
      <c r="J100" s="43"/>
      <c r="K100" s="52"/>
    </row>
    <row r="101" spans="1:11" ht="15.6" x14ac:dyDescent="0.3">
      <c r="A101" s="116" t="s">
        <v>148</v>
      </c>
      <c r="B101" s="116"/>
      <c r="C101" s="54" t="s">
        <v>149</v>
      </c>
      <c r="D101" s="43"/>
      <c r="E101" s="43"/>
      <c r="F101" s="43"/>
      <c r="G101" s="43"/>
      <c r="H101" s="43"/>
      <c r="I101" s="43"/>
      <c r="J101" s="43"/>
      <c r="K101" s="52"/>
    </row>
    <row r="102" spans="1:11" ht="15.6" x14ac:dyDescent="0.3">
      <c r="A102" s="116" t="s">
        <v>150</v>
      </c>
      <c r="B102" s="116"/>
      <c r="C102" s="54" t="s">
        <v>151</v>
      </c>
      <c r="D102" s="43"/>
      <c r="E102" s="43"/>
      <c r="F102" s="43"/>
      <c r="G102" s="43"/>
      <c r="H102" s="43"/>
      <c r="I102" s="43"/>
      <c r="J102" s="43"/>
      <c r="K102" s="52"/>
    </row>
    <row r="103" spans="1:11" ht="15.6" x14ac:dyDescent="0.3">
      <c r="A103" s="116" t="s">
        <v>152</v>
      </c>
      <c r="B103" s="116"/>
      <c r="C103" s="54" t="s">
        <v>153</v>
      </c>
      <c r="D103" s="43"/>
      <c r="E103" s="43"/>
      <c r="F103" s="43"/>
      <c r="G103" s="43"/>
      <c r="H103" s="43"/>
      <c r="I103" s="43"/>
      <c r="J103" s="43"/>
      <c r="K103" s="52"/>
    </row>
    <row r="104" spans="1:11" ht="15.6" x14ac:dyDescent="0.3">
      <c r="A104" s="116" t="s">
        <v>154</v>
      </c>
      <c r="B104" s="116"/>
      <c r="C104" s="54" t="s">
        <v>155</v>
      </c>
      <c r="D104" s="43"/>
      <c r="E104" s="43"/>
      <c r="F104" s="43"/>
      <c r="G104" s="43"/>
      <c r="H104" s="43"/>
      <c r="I104" s="43"/>
      <c r="J104" s="43"/>
      <c r="K104" s="52"/>
    </row>
    <row r="105" spans="1:11" ht="15.6" x14ac:dyDescent="0.3">
      <c r="A105" s="116" t="s">
        <v>156</v>
      </c>
      <c r="B105" s="116"/>
      <c r="C105" s="54" t="s">
        <v>157</v>
      </c>
      <c r="D105" s="43"/>
      <c r="E105" s="43"/>
      <c r="F105" s="43"/>
      <c r="G105" s="43"/>
      <c r="H105" s="43"/>
      <c r="I105" s="43"/>
      <c r="J105" s="43"/>
      <c r="K105" s="52"/>
    </row>
    <row r="106" spans="1:11" ht="33.75" customHeight="1" x14ac:dyDescent="0.3">
      <c r="A106" s="116" t="s">
        <v>436</v>
      </c>
      <c r="B106" s="116"/>
      <c r="C106" s="54" t="s">
        <v>159</v>
      </c>
      <c r="D106" s="43">
        <f>5222.9-271.61-14.5</f>
        <v>4936.79</v>
      </c>
      <c r="E106" s="43">
        <f>5665.6-350-12</f>
        <v>5303.6</v>
      </c>
      <c r="F106" s="43">
        <f>5665.6-310+2898.95-24.38-12</f>
        <v>8218.17</v>
      </c>
      <c r="G106" s="43">
        <f>H106+I106+J106+K106</f>
        <v>5033.62</v>
      </c>
      <c r="H106" s="43">
        <f>1225-1.25</f>
        <v>1223.75</v>
      </c>
      <c r="I106" s="43">
        <f>1325-1.25</f>
        <v>1323.75</v>
      </c>
      <c r="J106" s="43">
        <f>1325-1.25</f>
        <v>1323.75</v>
      </c>
      <c r="K106" s="52">
        <f>1163.62-1.25</f>
        <v>1162.3699999999999</v>
      </c>
    </row>
    <row r="107" spans="1:11" ht="15.6" x14ac:dyDescent="0.3">
      <c r="A107" s="117" t="s">
        <v>160</v>
      </c>
      <c r="B107" s="117"/>
      <c r="C107" s="58" t="s">
        <v>161</v>
      </c>
      <c r="D107" s="42">
        <f>D47+D87+D93+D95-D48-D79-D97</f>
        <v>-3195.6000000000013</v>
      </c>
      <c r="E107" s="42">
        <f t="shared" ref="E107:K107" si="11">E47+E87+E93+E95-E48-E79-E97</f>
        <v>-3424.2000000000007</v>
      </c>
      <c r="F107" s="42">
        <f t="shared" si="11"/>
        <v>-5453.3700000000026</v>
      </c>
      <c r="G107" s="42">
        <f t="shared" si="11"/>
        <v>-2808.6109999999981</v>
      </c>
      <c r="H107" s="42">
        <f t="shared" si="11"/>
        <v>-557.1850000000004</v>
      </c>
      <c r="I107" s="42">
        <f t="shared" si="11"/>
        <v>-616.15500000000065</v>
      </c>
      <c r="J107" s="42">
        <f t="shared" si="11"/>
        <v>-676.19399999999951</v>
      </c>
      <c r="K107" s="42">
        <f t="shared" si="11"/>
        <v>-959.07700000000023</v>
      </c>
    </row>
    <row r="108" spans="1:11" ht="15.6" x14ac:dyDescent="0.3">
      <c r="A108" s="117" t="s">
        <v>162</v>
      </c>
      <c r="B108" s="117"/>
      <c r="C108" s="58" t="s">
        <v>163</v>
      </c>
      <c r="D108" s="43"/>
      <c r="E108" s="43"/>
      <c r="F108" s="43"/>
      <c r="G108" s="43"/>
      <c r="H108" s="43"/>
      <c r="I108" s="43"/>
      <c r="J108" s="43"/>
      <c r="K108" s="52"/>
    </row>
    <row r="109" spans="1:11" ht="15.6" x14ac:dyDescent="0.3">
      <c r="A109" s="109" t="s">
        <v>164</v>
      </c>
      <c r="B109" s="109"/>
      <c r="C109" s="48">
        <v>16</v>
      </c>
      <c r="D109" s="43"/>
      <c r="E109" s="43"/>
      <c r="F109" s="43"/>
      <c r="G109" s="43"/>
      <c r="H109" s="43"/>
      <c r="I109" s="43"/>
      <c r="J109" s="43"/>
      <c r="K109" s="52"/>
    </row>
    <row r="110" spans="1:11" ht="15.6" x14ac:dyDescent="0.3">
      <c r="A110" s="117" t="s">
        <v>165</v>
      </c>
      <c r="B110" s="117"/>
      <c r="C110" s="58" t="s">
        <v>166</v>
      </c>
      <c r="D110" s="43"/>
      <c r="E110" s="43"/>
      <c r="F110" s="43"/>
      <c r="G110" s="43"/>
      <c r="H110" s="43"/>
      <c r="I110" s="43"/>
      <c r="J110" s="43"/>
      <c r="K110" s="52"/>
    </row>
    <row r="111" spans="1:11" ht="15.6" x14ac:dyDescent="0.3">
      <c r="A111" s="117" t="s">
        <v>167</v>
      </c>
      <c r="B111" s="117"/>
      <c r="C111" s="58" t="s">
        <v>168</v>
      </c>
      <c r="D111" s="43"/>
      <c r="E111" s="43"/>
      <c r="F111" s="43"/>
      <c r="G111" s="43"/>
      <c r="H111" s="43"/>
      <c r="I111" s="43"/>
      <c r="J111" s="43"/>
      <c r="K111" s="52"/>
    </row>
    <row r="112" spans="1:11" ht="15.6" x14ac:dyDescent="0.3">
      <c r="A112" s="117" t="s">
        <v>169</v>
      </c>
      <c r="B112" s="117"/>
      <c r="C112" s="58" t="s">
        <v>170</v>
      </c>
      <c r="D112" s="42">
        <f>SUM(D113:D115)</f>
        <v>3363.7</v>
      </c>
      <c r="E112" s="42">
        <f t="shared" ref="E112:K112" si="12">SUM(E113:E115)</f>
        <v>3448.8</v>
      </c>
      <c r="F112" s="42">
        <f t="shared" si="12"/>
        <v>5477.21</v>
      </c>
      <c r="G112" s="42">
        <f t="shared" si="12"/>
        <v>2535.4</v>
      </c>
      <c r="H112" s="42">
        <f t="shared" si="12"/>
        <v>480</v>
      </c>
      <c r="I112" s="42">
        <f t="shared" si="12"/>
        <v>590</v>
      </c>
      <c r="J112" s="42">
        <f t="shared" si="12"/>
        <v>480</v>
      </c>
      <c r="K112" s="42">
        <f t="shared" si="12"/>
        <v>985.4</v>
      </c>
    </row>
    <row r="113" spans="1:11" ht="15.6" x14ac:dyDescent="0.3">
      <c r="A113" s="116" t="s">
        <v>435</v>
      </c>
      <c r="B113" s="116"/>
      <c r="C113" s="54" t="s">
        <v>172</v>
      </c>
      <c r="D113" s="43">
        <v>3247.7</v>
      </c>
      <c r="E113" s="43">
        <v>3323.8</v>
      </c>
      <c r="F113" s="43">
        <v>5352.21</v>
      </c>
      <c r="G113" s="43">
        <f>H113+I113+J113+K113</f>
        <v>2405.4</v>
      </c>
      <c r="H113" s="43">
        <v>450</v>
      </c>
      <c r="I113" s="43">
        <v>550</v>
      </c>
      <c r="J113" s="43">
        <v>450</v>
      </c>
      <c r="K113" s="52">
        <v>955.4</v>
      </c>
    </row>
    <row r="114" spans="1:11" ht="15.6" x14ac:dyDescent="0.3">
      <c r="A114" s="116" t="s">
        <v>173</v>
      </c>
      <c r="B114" s="116"/>
      <c r="C114" s="54" t="s">
        <v>174</v>
      </c>
      <c r="D114" s="43"/>
      <c r="E114" s="43"/>
      <c r="F114" s="43"/>
      <c r="G114" s="43"/>
      <c r="H114" s="43"/>
      <c r="I114" s="43"/>
      <c r="J114" s="43"/>
      <c r="K114" s="52"/>
    </row>
    <row r="115" spans="1:11" ht="15.6" x14ac:dyDescent="0.3">
      <c r="A115" s="116" t="s">
        <v>434</v>
      </c>
      <c r="B115" s="116"/>
      <c r="C115" s="54" t="s">
        <v>176</v>
      </c>
      <c r="D115" s="43">
        <v>116</v>
      </c>
      <c r="E115" s="43">
        <v>125</v>
      </c>
      <c r="F115" s="43">
        <v>125</v>
      </c>
      <c r="G115" s="43">
        <f>H115+I115+J115+K115</f>
        <v>130</v>
      </c>
      <c r="H115" s="43">
        <v>30</v>
      </c>
      <c r="I115" s="43">
        <v>40</v>
      </c>
      <c r="J115" s="43">
        <v>30</v>
      </c>
      <c r="K115" s="52">
        <v>30</v>
      </c>
    </row>
    <row r="116" spans="1:11" ht="15.6" x14ac:dyDescent="0.3">
      <c r="A116" s="117" t="s">
        <v>177</v>
      </c>
      <c r="B116" s="117"/>
      <c r="C116" s="58" t="s">
        <v>178</v>
      </c>
      <c r="D116" s="42">
        <f>SUM(D117:D120)</f>
        <v>163.1</v>
      </c>
      <c r="E116" s="42">
        <f t="shared" ref="E116:K116" si="13">SUM(E117:E120)</f>
        <v>0</v>
      </c>
      <c r="F116" s="42">
        <f t="shared" si="13"/>
        <v>0</v>
      </c>
      <c r="G116" s="42">
        <f t="shared" si="13"/>
        <v>20</v>
      </c>
      <c r="H116" s="42">
        <f t="shared" si="13"/>
        <v>0</v>
      </c>
      <c r="I116" s="42">
        <f t="shared" si="13"/>
        <v>20</v>
      </c>
      <c r="J116" s="42">
        <f t="shared" si="13"/>
        <v>0</v>
      </c>
      <c r="K116" s="42">
        <f t="shared" si="13"/>
        <v>0</v>
      </c>
    </row>
    <row r="117" spans="1:11" ht="15.6" x14ac:dyDescent="0.3">
      <c r="A117" s="116" t="s">
        <v>179</v>
      </c>
      <c r="B117" s="116"/>
      <c r="C117" s="54" t="s">
        <v>180</v>
      </c>
      <c r="D117" s="43"/>
      <c r="E117" s="43"/>
      <c r="F117" s="43"/>
      <c r="G117" s="43"/>
      <c r="H117" s="43"/>
      <c r="I117" s="43"/>
      <c r="J117" s="43"/>
      <c r="K117" s="52"/>
    </row>
    <row r="118" spans="1:11" ht="15.6" x14ac:dyDescent="0.3">
      <c r="A118" s="116" t="s">
        <v>181</v>
      </c>
      <c r="B118" s="116"/>
      <c r="C118" s="54" t="s">
        <v>182</v>
      </c>
      <c r="D118" s="43"/>
      <c r="E118" s="43"/>
      <c r="F118" s="43"/>
      <c r="G118" s="43"/>
      <c r="H118" s="43"/>
      <c r="I118" s="43"/>
      <c r="J118" s="43"/>
      <c r="K118" s="52"/>
    </row>
    <row r="119" spans="1:11" ht="15.6" x14ac:dyDescent="0.3">
      <c r="A119" s="116" t="s">
        <v>183</v>
      </c>
      <c r="B119" s="116"/>
      <c r="C119" s="54" t="s">
        <v>184</v>
      </c>
      <c r="D119" s="43"/>
      <c r="E119" s="43"/>
      <c r="F119" s="43"/>
      <c r="G119" s="43"/>
      <c r="H119" s="43"/>
      <c r="I119" s="43"/>
      <c r="J119" s="43"/>
      <c r="K119" s="52"/>
    </row>
    <row r="120" spans="1:11" ht="15.6" x14ac:dyDescent="0.3">
      <c r="A120" s="116" t="s">
        <v>422</v>
      </c>
      <c r="B120" s="116"/>
      <c r="C120" s="54" t="s">
        <v>185</v>
      </c>
      <c r="D120" s="43">
        <v>163.1</v>
      </c>
      <c r="E120" s="43">
        <v>0</v>
      </c>
      <c r="F120" s="43">
        <v>0</v>
      </c>
      <c r="G120" s="43">
        <f>H120+I120+J120+K120</f>
        <v>20</v>
      </c>
      <c r="H120" s="43">
        <v>0</v>
      </c>
      <c r="I120" s="43">
        <v>20</v>
      </c>
      <c r="J120" s="43">
        <v>0</v>
      </c>
      <c r="K120" s="52">
        <v>0</v>
      </c>
    </row>
    <row r="121" spans="1:11" ht="30.75" customHeight="1" x14ac:dyDescent="0.3">
      <c r="A121" s="117" t="s">
        <v>186</v>
      </c>
      <c r="B121" s="117"/>
      <c r="C121" s="58" t="s">
        <v>187</v>
      </c>
      <c r="D121" s="42">
        <f>D107+D108+D110+D112-D109-D111-D116</f>
        <v>4.9999999999985505</v>
      </c>
      <c r="E121" s="42">
        <f t="shared" ref="E121:K121" si="14">E107+E108+E110+E112-E109-E111-E116</f>
        <v>24.599999999999454</v>
      </c>
      <c r="F121" s="42">
        <f>F107+F108+F110+F112-F109-F111-F116</f>
        <v>23.839999999997417</v>
      </c>
      <c r="G121" s="42">
        <f t="shared" si="14"/>
        <v>-293.21099999999797</v>
      </c>
      <c r="H121" s="42">
        <f t="shared" si="14"/>
        <v>-77.1850000000004</v>
      </c>
      <c r="I121" s="42">
        <f t="shared" si="14"/>
        <v>-46.155000000000655</v>
      </c>
      <c r="J121" s="42">
        <f t="shared" si="14"/>
        <v>-196.19399999999951</v>
      </c>
      <c r="K121" s="42">
        <f t="shared" si="14"/>
        <v>26.322999999999752</v>
      </c>
    </row>
    <row r="122" spans="1:11" ht="15.6" x14ac:dyDescent="0.3">
      <c r="A122" s="117" t="s">
        <v>188</v>
      </c>
      <c r="B122" s="117"/>
      <c r="C122" s="58" t="s">
        <v>189</v>
      </c>
      <c r="D122" s="43"/>
      <c r="E122" s="43"/>
      <c r="F122" s="43"/>
      <c r="G122" s="43"/>
      <c r="H122" s="43"/>
      <c r="I122" s="43"/>
      <c r="J122" s="43"/>
      <c r="K122" s="52"/>
    </row>
    <row r="123" spans="1:11" ht="15.6" x14ac:dyDescent="0.3">
      <c r="A123" s="117" t="s">
        <v>190</v>
      </c>
      <c r="B123" s="117"/>
      <c r="C123" s="58" t="s">
        <v>191</v>
      </c>
      <c r="D123" s="43"/>
      <c r="E123" s="43"/>
      <c r="F123" s="43"/>
      <c r="G123" s="43"/>
      <c r="H123" s="43"/>
      <c r="I123" s="43"/>
      <c r="J123" s="43"/>
      <c r="K123" s="52"/>
    </row>
    <row r="124" spans="1:11" ht="15.6" x14ac:dyDescent="0.3">
      <c r="A124" s="116" t="s">
        <v>192</v>
      </c>
      <c r="B124" s="116"/>
      <c r="C124" s="54" t="s">
        <v>193</v>
      </c>
      <c r="D124" s="43"/>
      <c r="E124" s="43"/>
      <c r="F124" s="43"/>
      <c r="G124" s="43"/>
      <c r="H124" s="43"/>
      <c r="I124" s="43"/>
      <c r="J124" s="43"/>
      <c r="K124" s="52"/>
    </row>
    <row r="125" spans="1:11" ht="15.6" x14ac:dyDescent="0.3">
      <c r="A125" s="116" t="s">
        <v>194</v>
      </c>
      <c r="B125" s="116"/>
      <c r="C125" s="54" t="s">
        <v>195</v>
      </c>
      <c r="D125" s="43"/>
      <c r="E125" s="43"/>
      <c r="F125" s="43"/>
      <c r="G125" s="43"/>
      <c r="H125" s="43"/>
      <c r="I125" s="43"/>
      <c r="J125" s="43"/>
      <c r="K125" s="43"/>
    </row>
    <row r="126" spans="1:11" ht="15.6" x14ac:dyDescent="0.3">
      <c r="A126" s="117" t="s">
        <v>196</v>
      </c>
      <c r="B126" s="117"/>
      <c r="C126" s="58" t="s">
        <v>197</v>
      </c>
      <c r="D126" s="43"/>
      <c r="E126" s="43"/>
      <c r="F126" s="43"/>
      <c r="G126" s="43"/>
      <c r="H126" s="43"/>
      <c r="I126" s="43"/>
      <c r="J126" s="43"/>
      <c r="K126" s="52"/>
    </row>
    <row r="127" spans="1:11" ht="15.6" x14ac:dyDescent="0.3">
      <c r="A127" s="117" t="s">
        <v>198</v>
      </c>
      <c r="B127" s="117"/>
      <c r="C127" s="58" t="s">
        <v>199</v>
      </c>
      <c r="D127" s="43"/>
      <c r="E127" s="43"/>
      <c r="F127" s="43"/>
      <c r="G127" s="43"/>
      <c r="H127" s="43"/>
      <c r="I127" s="43"/>
      <c r="J127" s="43"/>
      <c r="K127" s="52"/>
    </row>
    <row r="128" spans="1:11" ht="15.6" x14ac:dyDescent="0.3">
      <c r="A128" s="117" t="s">
        <v>200</v>
      </c>
      <c r="B128" s="117"/>
      <c r="C128" s="58" t="s">
        <v>201</v>
      </c>
      <c r="D128" s="43"/>
      <c r="E128" s="43"/>
      <c r="F128" s="43"/>
      <c r="G128" s="43"/>
      <c r="H128" s="43"/>
      <c r="I128" s="43"/>
      <c r="J128" s="43"/>
      <c r="K128" s="52"/>
    </row>
    <row r="129" spans="1:11" ht="15.6" x14ac:dyDescent="0.3">
      <c r="A129" s="117" t="s">
        <v>202</v>
      </c>
      <c r="B129" s="117"/>
      <c r="C129" s="58" t="s">
        <v>203</v>
      </c>
      <c r="D129" s="42">
        <f>D121+D124+D126-D122-D125-D127-D128</f>
        <v>4.9999999999985505</v>
      </c>
      <c r="E129" s="42">
        <f t="shared" ref="E129:K129" si="15">E121+E124+E126-E122-E125-E127-E128</f>
        <v>24.599999999999454</v>
      </c>
      <c r="F129" s="42">
        <f t="shared" si="15"/>
        <v>23.839999999997417</v>
      </c>
      <c r="G129" s="42">
        <f t="shared" si="15"/>
        <v>-293.21099999999797</v>
      </c>
      <c r="H129" s="42">
        <f t="shared" si="15"/>
        <v>-77.1850000000004</v>
      </c>
      <c r="I129" s="42">
        <f t="shared" si="15"/>
        <v>-46.155000000000655</v>
      </c>
      <c r="J129" s="42">
        <f t="shared" si="15"/>
        <v>-196.19399999999951</v>
      </c>
      <c r="K129" s="42">
        <f t="shared" si="15"/>
        <v>26.322999999999752</v>
      </c>
    </row>
    <row r="130" spans="1:11" ht="15.6" x14ac:dyDescent="0.3">
      <c r="A130" s="116" t="s">
        <v>204</v>
      </c>
      <c r="B130" s="116"/>
      <c r="C130" s="54" t="s">
        <v>205</v>
      </c>
      <c r="D130" s="43">
        <f>IF(D129&gt;=0,D129,0)</f>
        <v>4.9999999999985505</v>
      </c>
      <c r="E130" s="43">
        <f t="shared" ref="E130:K130" si="16">IF(E129&gt;=0,E129,0)</f>
        <v>24.599999999999454</v>
      </c>
      <c r="F130" s="43">
        <f t="shared" si="16"/>
        <v>23.839999999997417</v>
      </c>
      <c r="G130" s="43">
        <f>IF(G129&gt;=0,G129,0)</f>
        <v>0</v>
      </c>
      <c r="H130" s="43">
        <f t="shared" si="16"/>
        <v>0</v>
      </c>
      <c r="I130" s="43">
        <f t="shared" si="16"/>
        <v>0</v>
      </c>
      <c r="J130" s="43">
        <f t="shared" si="16"/>
        <v>0</v>
      </c>
      <c r="K130" s="43">
        <f t="shared" si="16"/>
        <v>26.322999999999752</v>
      </c>
    </row>
    <row r="131" spans="1:11" ht="15.6" x14ac:dyDescent="0.3">
      <c r="A131" s="116" t="s">
        <v>206</v>
      </c>
      <c r="B131" s="116"/>
      <c r="C131" s="54" t="s">
        <v>207</v>
      </c>
      <c r="D131" s="43">
        <f>IF(D129&lt;0,D129,0)</f>
        <v>0</v>
      </c>
      <c r="E131" s="43">
        <f t="shared" ref="E131:K131" si="17">IF(E129&lt;0,E129,0)</f>
        <v>0</v>
      </c>
      <c r="F131" s="43">
        <f t="shared" si="17"/>
        <v>0</v>
      </c>
      <c r="G131" s="43">
        <f t="shared" si="17"/>
        <v>-293.21099999999797</v>
      </c>
      <c r="H131" s="43">
        <f t="shared" si="17"/>
        <v>-77.1850000000004</v>
      </c>
      <c r="I131" s="43">
        <f t="shared" si="17"/>
        <v>-46.155000000000655</v>
      </c>
      <c r="J131" s="43">
        <f t="shared" si="17"/>
        <v>-196.19399999999951</v>
      </c>
      <c r="K131" s="43">
        <f t="shared" si="17"/>
        <v>0</v>
      </c>
    </row>
    <row r="132" spans="1:11" ht="15.6" x14ac:dyDescent="0.3">
      <c r="A132" s="117" t="s">
        <v>208</v>
      </c>
      <c r="B132" s="117"/>
      <c r="C132" s="48">
        <v>28</v>
      </c>
      <c r="D132" s="42">
        <f>D31+D87+D93+D95+D108+D110+D112+D124+D126</f>
        <v>17945.2</v>
      </c>
      <c r="E132" s="42">
        <f t="shared" ref="E132:K132" si="18">E31+E87+E93+E95+E108+E110+E112+E124+E126</f>
        <v>18840.900000000001</v>
      </c>
      <c r="F132" s="42">
        <f t="shared" si="18"/>
        <v>23788.039999999997</v>
      </c>
      <c r="G132" s="42">
        <f t="shared" si="18"/>
        <v>25635.24</v>
      </c>
      <c r="H132" s="42">
        <f t="shared" si="18"/>
        <v>6477.84</v>
      </c>
      <c r="I132" s="42">
        <f t="shared" si="18"/>
        <v>6489.14</v>
      </c>
      <c r="J132" s="42">
        <f t="shared" si="18"/>
        <v>5934.6500000000005</v>
      </c>
      <c r="K132" s="42">
        <f t="shared" si="18"/>
        <v>6733.61</v>
      </c>
    </row>
    <row r="133" spans="1:11" ht="15.6" x14ac:dyDescent="0.3">
      <c r="A133" s="117" t="s">
        <v>209</v>
      </c>
      <c r="B133" s="117"/>
      <c r="C133" s="48">
        <v>29</v>
      </c>
      <c r="D133" s="42">
        <f t="shared" ref="D133:J133" si="19">D37+D48+D79+D97+D109+D111+D116+D122+D125+D127+D128</f>
        <v>17940.2</v>
      </c>
      <c r="E133" s="42">
        <f t="shared" si="19"/>
        <v>18816.300000000003</v>
      </c>
      <c r="F133" s="42">
        <f t="shared" si="19"/>
        <v>23764.2</v>
      </c>
      <c r="G133" s="42">
        <f>G37+G48+G79+G97+G109+G111+G116+G122+G125+G127+G128</f>
        <v>25928.450999999997</v>
      </c>
      <c r="H133" s="42">
        <f t="shared" si="19"/>
        <v>6555.0250000000005</v>
      </c>
      <c r="I133" s="42">
        <f t="shared" si="19"/>
        <v>6535.295000000001</v>
      </c>
      <c r="J133" s="42">
        <f t="shared" si="19"/>
        <v>6130.8440000000001</v>
      </c>
      <c r="K133" s="42">
        <f>K37+K48+K79+K97+K109+K111+K116+K122+K125+K127+K128</f>
        <v>6707.2870000000003</v>
      </c>
    </row>
    <row r="134" spans="1:11" ht="15.6" x14ac:dyDescent="0.3">
      <c r="A134" s="118" t="s">
        <v>210</v>
      </c>
      <c r="B134" s="112"/>
      <c r="C134" s="112"/>
      <c r="D134" s="112"/>
      <c r="E134" s="112"/>
      <c r="F134" s="112"/>
      <c r="G134" s="112"/>
      <c r="H134" s="112"/>
      <c r="I134" s="112"/>
      <c r="J134" s="112"/>
      <c r="K134" s="113"/>
    </row>
    <row r="135" spans="1:11" ht="15.6" x14ac:dyDescent="0.3">
      <c r="A135" s="109" t="s">
        <v>211</v>
      </c>
      <c r="B135" s="109"/>
      <c r="C135" s="76">
        <v>30</v>
      </c>
      <c r="D135" s="42">
        <f>D136</f>
        <v>2.5</v>
      </c>
      <c r="E135" s="42">
        <f>E136</f>
        <v>12.3</v>
      </c>
      <c r="F135" s="42">
        <f t="shared" ref="F135:K135" si="20">F136</f>
        <v>11.914999999999999</v>
      </c>
      <c r="G135" s="42">
        <f>H135+I135+J135+K135</f>
        <v>13.16</v>
      </c>
      <c r="H135" s="42">
        <f t="shared" si="20"/>
        <v>0</v>
      </c>
      <c r="I135" s="42">
        <f t="shared" si="20"/>
        <v>0</v>
      </c>
      <c r="J135" s="42">
        <f t="shared" si="20"/>
        <v>0</v>
      </c>
      <c r="K135" s="42">
        <f t="shared" si="20"/>
        <v>13.16</v>
      </c>
    </row>
    <row r="136" spans="1:11" ht="27.75" customHeight="1" x14ac:dyDescent="0.3">
      <c r="A136" s="114" t="s">
        <v>212</v>
      </c>
      <c r="B136" s="114"/>
      <c r="C136" s="54" t="s">
        <v>213</v>
      </c>
      <c r="D136" s="43">
        <v>2.5</v>
      </c>
      <c r="E136" s="43">
        <v>12.3</v>
      </c>
      <c r="F136" s="43">
        <v>11.914999999999999</v>
      </c>
      <c r="G136" s="43">
        <f>H136+I136+J136+K136</f>
        <v>13.16</v>
      </c>
      <c r="H136" s="43">
        <v>0</v>
      </c>
      <c r="I136" s="43">
        <v>0</v>
      </c>
      <c r="J136" s="43">
        <v>0</v>
      </c>
      <c r="K136" s="52">
        <v>13.16</v>
      </c>
    </row>
    <row r="137" spans="1:11" ht="33.75" customHeight="1" x14ac:dyDescent="0.3">
      <c r="A137" s="109" t="s">
        <v>214</v>
      </c>
      <c r="B137" s="109"/>
      <c r="C137" s="48">
        <v>31</v>
      </c>
      <c r="D137" s="42"/>
      <c r="E137" s="42"/>
      <c r="F137" s="42"/>
      <c r="G137" s="42"/>
      <c r="H137" s="42"/>
      <c r="I137" s="42"/>
      <c r="J137" s="42"/>
      <c r="K137" s="59"/>
    </row>
    <row r="138" spans="1:11" ht="15.6" x14ac:dyDescent="0.3">
      <c r="A138" s="109" t="s">
        <v>215</v>
      </c>
      <c r="B138" s="109"/>
      <c r="C138" s="48">
        <v>32</v>
      </c>
      <c r="D138" s="42">
        <f>SUM(D139:D142)</f>
        <v>2.5</v>
      </c>
      <c r="E138" s="42">
        <f t="shared" ref="E138:K138" si="21">SUM(E139:E142)</f>
        <v>12.3</v>
      </c>
      <c r="F138" s="42">
        <f t="shared" si="21"/>
        <v>11.92</v>
      </c>
      <c r="G138" s="42">
        <f t="shared" si="21"/>
        <v>13.16</v>
      </c>
      <c r="H138" s="42">
        <f t="shared" si="21"/>
        <v>0</v>
      </c>
      <c r="I138" s="42">
        <f t="shared" si="21"/>
        <v>0</v>
      </c>
      <c r="J138" s="42">
        <f t="shared" si="21"/>
        <v>0</v>
      </c>
      <c r="K138" s="42">
        <f t="shared" si="21"/>
        <v>13.16</v>
      </c>
    </row>
    <row r="139" spans="1:11" ht="15.6" x14ac:dyDescent="0.3">
      <c r="A139" s="114" t="s">
        <v>216</v>
      </c>
      <c r="B139" s="114"/>
      <c r="C139" s="60" t="s">
        <v>217</v>
      </c>
      <c r="D139" s="43"/>
      <c r="E139" s="43"/>
      <c r="F139" s="43"/>
      <c r="G139" s="43"/>
      <c r="H139" s="43"/>
      <c r="I139" s="43"/>
      <c r="J139" s="43"/>
      <c r="K139" s="52"/>
    </row>
    <row r="140" spans="1:11" ht="15.6" x14ac:dyDescent="0.3">
      <c r="A140" s="114" t="s">
        <v>218</v>
      </c>
      <c r="B140" s="114"/>
      <c r="C140" s="60" t="s">
        <v>219</v>
      </c>
      <c r="D140" s="43"/>
      <c r="E140" s="43"/>
      <c r="F140" s="43"/>
      <c r="G140" s="43"/>
      <c r="H140" s="43"/>
      <c r="I140" s="43"/>
      <c r="J140" s="43"/>
      <c r="K140" s="52"/>
    </row>
    <row r="141" spans="1:11" ht="15.6" x14ac:dyDescent="0.3">
      <c r="A141" s="114" t="s">
        <v>220</v>
      </c>
      <c r="B141" s="114"/>
      <c r="C141" s="60" t="s">
        <v>221</v>
      </c>
      <c r="D141" s="43"/>
      <c r="E141" s="43"/>
      <c r="F141" s="43"/>
      <c r="G141" s="43"/>
      <c r="H141" s="43"/>
      <c r="I141" s="43"/>
      <c r="J141" s="43"/>
      <c r="K141" s="52"/>
    </row>
    <row r="142" spans="1:11" ht="15.6" x14ac:dyDescent="0.3">
      <c r="A142" s="114" t="s">
        <v>429</v>
      </c>
      <c r="B142" s="114"/>
      <c r="C142" s="60" t="s">
        <v>222</v>
      </c>
      <c r="D142" s="43">
        <v>2.5</v>
      </c>
      <c r="E142" s="43">
        <v>12.3</v>
      </c>
      <c r="F142" s="43">
        <v>11.92</v>
      </c>
      <c r="G142" s="43">
        <f>H142+I142+J142+K142</f>
        <v>13.16</v>
      </c>
      <c r="H142" s="43">
        <v>0</v>
      </c>
      <c r="I142" s="43">
        <v>0</v>
      </c>
      <c r="J142" s="43">
        <v>0</v>
      </c>
      <c r="K142" s="52">
        <v>13.16</v>
      </c>
    </row>
    <row r="143" spans="1:11" ht="33.75" customHeight="1" x14ac:dyDescent="0.3">
      <c r="A143" s="109" t="s">
        <v>223</v>
      </c>
      <c r="B143" s="109"/>
      <c r="C143" s="48">
        <v>33</v>
      </c>
      <c r="D143" s="61">
        <f>D137+D129-D135-D138</f>
        <v>-1.4495071809506044E-12</v>
      </c>
      <c r="E143" s="61">
        <f t="shared" ref="E143:J143" si="22">E137+E129-E135-E138</f>
        <v>-5.4711790653527714E-13</v>
      </c>
      <c r="F143" s="42">
        <f t="shared" si="22"/>
        <v>4.9999999974179588E-3</v>
      </c>
      <c r="G143" s="42">
        <f>H143+I143+J143-K135-K138</f>
        <v>-345.85400000000061</v>
      </c>
      <c r="H143" s="42">
        <f>H137+H129-H135-H138</f>
        <v>-77.1850000000004</v>
      </c>
      <c r="I143" s="42">
        <f>I137+I129-I135-I138</f>
        <v>-46.155000000000655</v>
      </c>
      <c r="J143" s="42">
        <f t="shared" si="22"/>
        <v>-196.19399999999951</v>
      </c>
      <c r="K143" s="42">
        <f>K129-K135-K138</f>
        <v>2.9999999997514237E-3</v>
      </c>
    </row>
    <row r="144" spans="1:11" ht="15.6" x14ac:dyDescent="0.3">
      <c r="A144" s="118" t="s">
        <v>224</v>
      </c>
      <c r="B144" s="112"/>
      <c r="C144" s="112"/>
      <c r="D144" s="112"/>
      <c r="E144" s="112"/>
      <c r="F144" s="112"/>
      <c r="G144" s="112"/>
      <c r="H144" s="112"/>
      <c r="I144" s="112"/>
      <c r="J144" s="112"/>
      <c r="K144" s="113"/>
    </row>
    <row r="145" spans="1:11" ht="38.25" customHeight="1" x14ac:dyDescent="0.3">
      <c r="A145" s="109" t="s">
        <v>225</v>
      </c>
      <c r="B145" s="109"/>
      <c r="C145" s="48">
        <v>34</v>
      </c>
      <c r="D145" s="48">
        <f>SUM(D146:D151)</f>
        <v>0</v>
      </c>
      <c r="E145" s="48">
        <f t="shared" ref="E145:K145" si="23">SUM(E146:E151)</f>
        <v>51.4</v>
      </c>
      <c r="F145" s="48">
        <f t="shared" si="23"/>
        <v>33.729999999999997</v>
      </c>
      <c r="G145" s="48">
        <f t="shared" si="23"/>
        <v>43.85</v>
      </c>
      <c r="H145" s="48">
        <f t="shared" si="23"/>
        <v>8.83</v>
      </c>
      <c r="I145" s="48">
        <f t="shared" si="23"/>
        <v>13.33</v>
      </c>
      <c r="J145" s="48">
        <f t="shared" si="23"/>
        <v>13.33</v>
      </c>
      <c r="K145" s="48">
        <f t="shared" si="23"/>
        <v>8.36</v>
      </c>
    </row>
    <row r="146" spans="1:11" ht="15.6" x14ac:dyDescent="0.3">
      <c r="A146" s="114" t="s">
        <v>226</v>
      </c>
      <c r="B146" s="114"/>
      <c r="C146" s="60" t="s">
        <v>227</v>
      </c>
      <c r="D146" s="53"/>
      <c r="E146" s="53"/>
      <c r="F146" s="53"/>
      <c r="G146" s="53"/>
      <c r="H146" s="53"/>
      <c r="I146" s="53"/>
      <c r="J146" s="53"/>
      <c r="K146" s="62"/>
    </row>
    <row r="147" spans="1:11" ht="31.5" customHeight="1" x14ac:dyDescent="0.3">
      <c r="A147" s="114" t="s">
        <v>228</v>
      </c>
      <c r="B147" s="114"/>
      <c r="C147" s="60" t="s">
        <v>229</v>
      </c>
      <c r="D147" s="53"/>
      <c r="E147" s="53">
        <v>51.4</v>
      </c>
      <c r="F147" s="43">
        <f>F28</f>
        <v>33.729999999999997</v>
      </c>
      <c r="G147" s="43">
        <f t="shared" ref="G147:K147" si="24">G28</f>
        <v>43.85</v>
      </c>
      <c r="H147" s="43">
        <f t="shared" si="24"/>
        <v>8.83</v>
      </c>
      <c r="I147" s="43">
        <f t="shared" si="24"/>
        <v>13.33</v>
      </c>
      <c r="J147" s="43">
        <f t="shared" si="24"/>
        <v>13.33</v>
      </c>
      <c r="K147" s="43">
        <f t="shared" si="24"/>
        <v>8.36</v>
      </c>
    </row>
    <row r="148" spans="1:11" ht="15.6" x14ac:dyDescent="0.3">
      <c r="A148" s="114" t="s">
        <v>230</v>
      </c>
      <c r="B148" s="114"/>
      <c r="C148" s="60" t="s">
        <v>231</v>
      </c>
      <c r="D148" s="12"/>
      <c r="E148" s="12"/>
      <c r="F148" s="12"/>
      <c r="G148" s="12"/>
      <c r="H148" s="12"/>
      <c r="I148" s="12"/>
      <c r="J148" s="12"/>
      <c r="K148" s="12"/>
    </row>
    <row r="149" spans="1:11" ht="15.6" x14ac:dyDescent="0.3">
      <c r="A149" s="114" t="s">
        <v>232</v>
      </c>
      <c r="B149" s="114"/>
      <c r="C149" s="60" t="s">
        <v>233</v>
      </c>
      <c r="D149" s="53"/>
      <c r="E149" s="53"/>
      <c r="F149" s="53"/>
      <c r="G149" s="53"/>
      <c r="H149" s="53"/>
      <c r="I149" s="53"/>
      <c r="J149" s="53"/>
      <c r="K149" s="62"/>
    </row>
    <row r="150" spans="1:11" ht="15.6" x14ac:dyDescent="0.3">
      <c r="A150" s="114" t="s">
        <v>234</v>
      </c>
      <c r="B150" s="114"/>
      <c r="C150" s="60" t="s">
        <v>235</v>
      </c>
      <c r="D150" s="53"/>
      <c r="E150" s="53"/>
      <c r="F150" s="53"/>
      <c r="G150" s="53"/>
      <c r="H150" s="53"/>
      <c r="I150" s="53"/>
      <c r="J150" s="53"/>
      <c r="K150" s="62"/>
    </row>
    <row r="151" spans="1:11" ht="16.2" x14ac:dyDescent="0.3">
      <c r="A151" s="114" t="s">
        <v>236</v>
      </c>
      <c r="B151" s="114"/>
      <c r="C151" s="60" t="s">
        <v>237</v>
      </c>
      <c r="D151" s="63"/>
      <c r="E151" s="63"/>
      <c r="F151" s="63"/>
      <c r="G151" s="63"/>
      <c r="H151" s="63"/>
      <c r="I151" s="63"/>
      <c r="J151" s="53"/>
      <c r="K151" s="62"/>
    </row>
    <row r="152" spans="1:11" ht="34.5" customHeight="1" x14ac:dyDescent="0.3">
      <c r="A152" s="109" t="s">
        <v>238</v>
      </c>
      <c r="B152" s="109"/>
      <c r="C152" s="48">
        <v>35</v>
      </c>
      <c r="D152" s="42">
        <f>SUM(D153:D155)</f>
        <v>884.93</v>
      </c>
      <c r="E152" s="42">
        <f t="shared" ref="E152:K152" si="25">SUM(E153:E155)</f>
        <v>990.99</v>
      </c>
      <c r="F152" s="42">
        <f t="shared" si="25"/>
        <v>1263.5154</v>
      </c>
      <c r="G152" s="42">
        <f t="shared" si="25"/>
        <v>2274.0389999999998</v>
      </c>
      <c r="H152" s="42">
        <f t="shared" si="25"/>
        <v>568.48500000000001</v>
      </c>
      <c r="I152" s="42">
        <f t="shared" si="25"/>
        <v>568.48500000000001</v>
      </c>
      <c r="J152" s="42">
        <f t="shared" si="25"/>
        <v>568.56599999999992</v>
      </c>
      <c r="K152" s="42">
        <f t="shared" si="25"/>
        <v>568.50299999999993</v>
      </c>
    </row>
    <row r="153" spans="1:11" ht="15.6" x14ac:dyDescent="0.3">
      <c r="A153" s="114" t="s">
        <v>437</v>
      </c>
      <c r="B153" s="114"/>
      <c r="C153" s="60" t="s">
        <v>239</v>
      </c>
      <c r="D153" s="43">
        <v>884.93</v>
      </c>
      <c r="E153" s="43">
        <f t="shared" ref="E153:K153" si="26">E249*0.18</f>
        <v>990.99</v>
      </c>
      <c r="F153" s="43">
        <f t="shared" si="26"/>
        <v>1263.5154</v>
      </c>
      <c r="G153" s="43">
        <f t="shared" si="26"/>
        <v>2274.0389999999998</v>
      </c>
      <c r="H153" s="43">
        <f t="shared" si="26"/>
        <v>568.48500000000001</v>
      </c>
      <c r="I153" s="43">
        <f t="shared" si="26"/>
        <v>568.48500000000001</v>
      </c>
      <c r="J153" s="43">
        <f t="shared" si="26"/>
        <v>568.56599999999992</v>
      </c>
      <c r="K153" s="43">
        <f t="shared" si="26"/>
        <v>568.50299999999993</v>
      </c>
    </row>
    <row r="154" spans="1:11" ht="15.6" hidden="1" x14ac:dyDescent="0.3">
      <c r="A154" s="114"/>
      <c r="B154" s="114"/>
      <c r="C154" s="60" t="s">
        <v>240</v>
      </c>
      <c r="D154" s="53"/>
      <c r="E154" s="53"/>
      <c r="F154" s="53"/>
      <c r="G154" s="53"/>
      <c r="H154" s="53"/>
      <c r="I154" s="53"/>
      <c r="J154" s="53"/>
      <c r="K154" s="62"/>
    </row>
    <row r="155" spans="1:11" ht="15.6" hidden="1" x14ac:dyDescent="0.3">
      <c r="A155" s="114"/>
      <c r="B155" s="114"/>
      <c r="C155" s="60" t="s">
        <v>241</v>
      </c>
      <c r="D155" s="53"/>
      <c r="E155" s="53"/>
      <c r="F155" s="53"/>
      <c r="G155" s="53"/>
      <c r="H155" s="53"/>
      <c r="I155" s="53"/>
      <c r="J155" s="53"/>
      <c r="K155" s="62"/>
    </row>
    <row r="156" spans="1:11" ht="32.25" customHeight="1" x14ac:dyDescent="0.3">
      <c r="A156" s="109" t="s">
        <v>242</v>
      </c>
      <c r="B156" s="109"/>
      <c r="C156" s="48">
        <v>36</v>
      </c>
      <c r="D156" s="42">
        <f>SUM(D157:D158)</f>
        <v>1138</v>
      </c>
      <c r="E156" s="42">
        <f t="shared" ref="E156:K156" si="27">SUM(E157:E158)</f>
        <v>1287</v>
      </c>
      <c r="F156" s="42">
        <f t="shared" si="27"/>
        <v>1558.34</v>
      </c>
      <c r="G156" s="42">
        <f t="shared" si="27"/>
        <v>2706.4700000000003</v>
      </c>
      <c r="H156" s="42">
        <f t="shared" si="27"/>
        <v>676.6099999999999</v>
      </c>
      <c r="I156" s="42">
        <f t="shared" si="27"/>
        <v>676.6099999999999</v>
      </c>
      <c r="J156" s="42">
        <f t="shared" si="27"/>
        <v>676.6099999999999</v>
      </c>
      <c r="K156" s="42">
        <f t="shared" si="27"/>
        <v>676.6400000000001</v>
      </c>
    </row>
    <row r="157" spans="1:11" ht="15.6" x14ac:dyDescent="0.3">
      <c r="A157" s="114" t="s">
        <v>243</v>
      </c>
      <c r="B157" s="114"/>
      <c r="C157" s="60" t="s">
        <v>244</v>
      </c>
      <c r="D157" s="43">
        <v>1065.0999999999999</v>
      </c>
      <c r="E157" s="43">
        <v>1211.2</v>
      </c>
      <c r="F157" s="43">
        <v>1453.05</v>
      </c>
      <c r="G157" s="43">
        <f>H157+I157+J157+K157</f>
        <v>2533.71</v>
      </c>
      <c r="H157" s="43">
        <v>633.41999999999996</v>
      </c>
      <c r="I157" s="43">
        <v>633.41999999999996</v>
      </c>
      <c r="J157" s="43">
        <v>633.41999999999996</v>
      </c>
      <c r="K157" s="43">
        <v>633.45000000000005</v>
      </c>
    </row>
    <row r="158" spans="1:11" ht="15.6" x14ac:dyDescent="0.3">
      <c r="A158" s="114" t="s">
        <v>245</v>
      </c>
      <c r="B158" s="114"/>
      <c r="C158" s="60" t="s">
        <v>246</v>
      </c>
      <c r="D158" s="43">
        <v>72.900000000000006</v>
      </c>
      <c r="E158" s="43">
        <v>75.8</v>
      </c>
      <c r="F158" s="43">
        <v>105.29</v>
      </c>
      <c r="G158" s="43">
        <f>H158+I158+J158+K158</f>
        <v>172.76</v>
      </c>
      <c r="H158" s="43">
        <v>43.19</v>
      </c>
      <c r="I158" s="43">
        <v>43.19</v>
      </c>
      <c r="J158" s="43">
        <v>43.19</v>
      </c>
      <c r="K158" s="43">
        <v>43.19</v>
      </c>
    </row>
    <row r="159" spans="1:11" ht="15.6" x14ac:dyDescent="0.3">
      <c r="A159" s="109" t="s">
        <v>247</v>
      </c>
      <c r="B159" s="109"/>
      <c r="C159" s="48">
        <v>37</v>
      </c>
      <c r="D159" s="42">
        <f>D160+D163</f>
        <v>0</v>
      </c>
      <c r="E159" s="42">
        <f t="shared" ref="E159:K159" si="28">E160+E163</f>
        <v>0</v>
      </c>
      <c r="F159" s="42">
        <f t="shared" si="28"/>
        <v>0</v>
      </c>
      <c r="G159" s="42">
        <f t="shared" si="28"/>
        <v>0</v>
      </c>
      <c r="H159" s="42">
        <f t="shared" si="28"/>
        <v>0</v>
      </c>
      <c r="I159" s="42">
        <f t="shared" si="28"/>
        <v>0</v>
      </c>
      <c r="J159" s="42">
        <f t="shared" si="28"/>
        <v>0</v>
      </c>
      <c r="K159" s="42">
        <f t="shared" si="28"/>
        <v>0</v>
      </c>
    </row>
    <row r="160" spans="1:11" ht="16.2" x14ac:dyDescent="0.3">
      <c r="A160" s="119" t="s">
        <v>248</v>
      </c>
      <c r="B160" s="119"/>
      <c r="C160" s="64" t="s">
        <v>249</v>
      </c>
      <c r="D160" s="66">
        <f>SUM(D161:D162)</f>
        <v>0</v>
      </c>
      <c r="E160" s="66">
        <f t="shared" ref="E160:K160" si="29">SUM(E161:E162)</f>
        <v>0</v>
      </c>
      <c r="F160" s="66">
        <f t="shared" si="29"/>
        <v>0</v>
      </c>
      <c r="G160" s="66">
        <f t="shared" si="29"/>
        <v>0</v>
      </c>
      <c r="H160" s="66">
        <f t="shared" si="29"/>
        <v>0</v>
      </c>
      <c r="I160" s="66">
        <f t="shared" si="29"/>
        <v>0</v>
      </c>
      <c r="J160" s="66">
        <f t="shared" si="29"/>
        <v>0</v>
      </c>
      <c r="K160" s="66">
        <f t="shared" si="29"/>
        <v>0</v>
      </c>
    </row>
    <row r="161" spans="1:11" ht="15.6" x14ac:dyDescent="0.3">
      <c r="A161" s="114" t="s">
        <v>250</v>
      </c>
      <c r="B161" s="114"/>
      <c r="C161" s="60" t="s">
        <v>251</v>
      </c>
      <c r="D161" s="43"/>
      <c r="E161" s="43"/>
      <c r="F161" s="43"/>
      <c r="G161" s="43"/>
      <c r="H161" s="43"/>
      <c r="I161" s="43"/>
      <c r="J161" s="43"/>
      <c r="K161" s="52"/>
    </row>
    <row r="162" spans="1:11" ht="15.6" x14ac:dyDescent="0.3">
      <c r="A162" s="114" t="s">
        <v>252</v>
      </c>
      <c r="B162" s="114"/>
      <c r="C162" s="60" t="s">
        <v>253</v>
      </c>
      <c r="D162" s="43"/>
      <c r="E162" s="43"/>
      <c r="F162" s="43"/>
      <c r="G162" s="43"/>
      <c r="H162" s="43"/>
      <c r="I162" s="43"/>
      <c r="J162" s="43"/>
      <c r="K162" s="52"/>
    </row>
    <row r="163" spans="1:11" ht="16.2" x14ac:dyDescent="0.3">
      <c r="A163" s="119" t="s">
        <v>254</v>
      </c>
      <c r="B163" s="119"/>
      <c r="C163" s="64" t="s">
        <v>255</v>
      </c>
      <c r="D163" s="66">
        <f>SUM(D164:D165)</f>
        <v>0</v>
      </c>
      <c r="E163" s="66">
        <f t="shared" ref="E163:K163" si="30">SUM(E164:E165)</f>
        <v>0</v>
      </c>
      <c r="F163" s="66">
        <f t="shared" si="30"/>
        <v>0</v>
      </c>
      <c r="G163" s="66">
        <f t="shared" si="30"/>
        <v>0</v>
      </c>
      <c r="H163" s="66">
        <f t="shared" si="30"/>
        <v>0</v>
      </c>
      <c r="I163" s="66">
        <f t="shared" si="30"/>
        <v>0</v>
      </c>
      <c r="J163" s="66">
        <f t="shared" si="30"/>
        <v>0</v>
      </c>
      <c r="K163" s="66">
        <f t="shared" si="30"/>
        <v>0</v>
      </c>
    </row>
    <row r="164" spans="1:11" ht="15.6" x14ac:dyDescent="0.3">
      <c r="A164" s="114" t="s">
        <v>250</v>
      </c>
      <c r="B164" s="114"/>
      <c r="C164" s="60" t="s">
        <v>256</v>
      </c>
      <c r="D164" s="43"/>
      <c r="E164" s="43"/>
      <c r="F164" s="43"/>
      <c r="G164" s="43"/>
      <c r="H164" s="43"/>
      <c r="I164" s="43"/>
      <c r="J164" s="43"/>
      <c r="K164" s="52"/>
    </row>
    <row r="165" spans="1:11" ht="15.6" x14ac:dyDescent="0.3">
      <c r="A165" s="114" t="s">
        <v>252</v>
      </c>
      <c r="B165" s="114"/>
      <c r="C165" s="60" t="s">
        <v>257</v>
      </c>
      <c r="D165" s="43"/>
      <c r="E165" s="43"/>
      <c r="F165" s="43"/>
      <c r="G165" s="43"/>
      <c r="H165" s="43"/>
      <c r="I165" s="43"/>
      <c r="J165" s="43"/>
      <c r="K165" s="52"/>
    </row>
    <row r="166" spans="1:11" ht="15.6" x14ac:dyDescent="0.3">
      <c r="A166" s="109" t="s">
        <v>258</v>
      </c>
      <c r="B166" s="109"/>
      <c r="C166" s="48">
        <v>38</v>
      </c>
      <c r="D166" s="42">
        <f>D159+D156+D152+D145</f>
        <v>2022.9299999999998</v>
      </c>
      <c r="E166" s="42">
        <f t="shared" ref="E166:K166" si="31">E159+E156+E152+E145</f>
        <v>2329.39</v>
      </c>
      <c r="F166" s="42">
        <f t="shared" si="31"/>
        <v>2855.5853999999999</v>
      </c>
      <c r="G166" s="42">
        <f t="shared" si="31"/>
        <v>5024.3590000000004</v>
      </c>
      <c r="H166" s="42">
        <f>H159+H156+H152+H145</f>
        <v>1253.9249999999997</v>
      </c>
      <c r="I166" s="42">
        <f t="shared" si="31"/>
        <v>1258.4249999999997</v>
      </c>
      <c r="J166" s="42">
        <f t="shared" si="31"/>
        <v>1258.5059999999999</v>
      </c>
      <c r="K166" s="42">
        <f t="shared" si="31"/>
        <v>1253.5029999999999</v>
      </c>
    </row>
    <row r="167" spans="1:11" ht="15.6" x14ac:dyDescent="0.3">
      <c r="A167" s="118" t="s">
        <v>259</v>
      </c>
      <c r="B167" s="112"/>
      <c r="C167" s="112"/>
      <c r="D167" s="112"/>
      <c r="E167" s="112"/>
      <c r="F167" s="112"/>
      <c r="G167" s="112"/>
      <c r="H167" s="112"/>
      <c r="I167" s="112"/>
      <c r="J167" s="112"/>
      <c r="K167" s="113"/>
    </row>
    <row r="168" spans="1:11" ht="16.2" x14ac:dyDescent="0.3">
      <c r="A168" s="114" t="s">
        <v>260</v>
      </c>
      <c r="B168" s="114"/>
      <c r="C168" s="48">
        <v>39</v>
      </c>
      <c r="D168" s="65">
        <v>8</v>
      </c>
      <c r="E168" s="65">
        <v>8.3000000000000007</v>
      </c>
      <c r="F168" s="66">
        <v>8</v>
      </c>
      <c r="G168" s="66">
        <f>F181</f>
        <v>2909.4500000000044</v>
      </c>
      <c r="H168" s="66">
        <v>10.5</v>
      </c>
      <c r="I168" s="66">
        <v>12.62</v>
      </c>
      <c r="J168" s="66">
        <v>34.65</v>
      </c>
      <c r="K168" s="66">
        <v>30.36</v>
      </c>
    </row>
    <row r="169" spans="1:11" ht="15.6" x14ac:dyDescent="0.3">
      <c r="A169" s="114" t="s">
        <v>261</v>
      </c>
      <c r="B169" s="114"/>
      <c r="C169" s="48">
        <v>40</v>
      </c>
      <c r="D169" s="45">
        <f>D170</f>
        <v>14346.1</v>
      </c>
      <c r="E169" s="45">
        <f>E170</f>
        <v>15135</v>
      </c>
      <c r="F169" s="45">
        <f>F170</f>
        <v>18142.16</v>
      </c>
      <c r="G169" s="45">
        <f t="shared" ref="G169:K169" si="32">G170</f>
        <v>22880.53</v>
      </c>
      <c r="H169" s="45">
        <f t="shared" si="32"/>
        <v>5953.67</v>
      </c>
      <c r="I169" s="45">
        <f t="shared" si="32"/>
        <v>5832.47</v>
      </c>
      <c r="J169" s="45">
        <f t="shared" si="32"/>
        <v>5387.9800000000005</v>
      </c>
      <c r="K169" s="45">
        <f t="shared" si="32"/>
        <v>5706.41</v>
      </c>
    </row>
    <row r="170" spans="1:11" ht="15.6" x14ac:dyDescent="0.3">
      <c r="A170" s="114" t="s">
        <v>262</v>
      </c>
      <c r="B170" s="114"/>
      <c r="C170" s="60" t="s">
        <v>263</v>
      </c>
      <c r="D170" s="56">
        <f>D92</f>
        <v>14346.1</v>
      </c>
      <c r="E170" s="56">
        <f t="shared" ref="E170:K170" si="33">E92</f>
        <v>15135</v>
      </c>
      <c r="F170" s="56">
        <f t="shared" si="33"/>
        <v>18142.16</v>
      </c>
      <c r="G170" s="56">
        <f t="shared" si="33"/>
        <v>22880.53</v>
      </c>
      <c r="H170" s="56">
        <f t="shared" si="33"/>
        <v>5953.67</v>
      </c>
      <c r="I170" s="56">
        <f t="shared" si="33"/>
        <v>5832.47</v>
      </c>
      <c r="J170" s="56">
        <f t="shared" si="33"/>
        <v>5387.9800000000005</v>
      </c>
      <c r="K170" s="56">
        <f t="shared" si="33"/>
        <v>5706.41</v>
      </c>
    </row>
    <row r="171" spans="1:11" ht="15.6" x14ac:dyDescent="0.3">
      <c r="A171" s="114" t="s">
        <v>264</v>
      </c>
      <c r="B171" s="114"/>
      <c r="C171" s="48">
        <v>41</v>
      </c>
      <c r="D171" s="45">
        <f>D192</f>
        <v>12896.924999999999</v>
      </c>
      <c r="E171" s="45">
        <f t="shared" ref="E171:K171" si="34">E192</f>
        <v>3945.18</v>
      </c>
      <c r="F171" s="45">
        <f t="shared" si="34"/>
        <v>22675.125</v>
      </c>
      <c r="G171" s="45">
        <f t="shared" si="34"/>
        <v>10179.11</v>
      </c>
      <c r="H171" s="45">
        <f t="shared" si="34"/>
        <v>350</v>
      </c>
      <c r="I171" s="45">
        <f t="shared" si="34"/>
        <v>9303.61</v>
      </c>
      <c r="J171" s="45">
        <f t="shared" si="34"/>
        <v>250</v>
      </c>
      <c r="K171" s="45">
        <f t="shared" si="34"/>
        <v>275.5</v>
      </c>
    </row>
    <row r="172" spans="1:11" ht="15.6" x14ac:dyDescent="0.3">
      <c r="A172" s="120" t="s">
        <v>425</v>
      </c>
      <c r="B172" s="121"/>
      <c r="C172" s="67" t="s">
        <v>424</v>
      </c>
      <c r="D172" s="45">
        <v>90.1</v>
      </c>
      <c r="E172" s="45"/>
      <c r="F172" s="44"/>
      <c r="G172" s="44"/>
      <c r="H172" s="44"/>
      <c r="I172" s="44"/>
      <c r="J172" s="44"/>
      <c r="K172" s="44"/>
    </row>
    <row r="173" spans="1:11" ht="15.6" x14ac:dyDescent="0.3">
      <c r="A173" s="114" t="s">
        <v>265</v>
      </c>
      <c r="B173" s="114"/>
      <c r="C173" s="48">
        <v>42</v>
      </c>
      <c r="D173" s="45"/>
      <c r="E173" s="45"/>
      <c r="F173" s="44"/>
      <c r="G173" s="44"/>
      <c r="H173" s="44"/>
      <c r="I173" s="44"/>
      <c r="J173" s="44"/>
      <c r="K173" s="44"/>
    </row>
    <row r="174" spans="1:11" ht="15.6" x14ac:dyDescent="0.3">
      <c r="A174" s="114" t="s">
        <v>266</v>
      </c>
      <c r="B174" s="114"/>
      <c r="C174" s="48">
        <v>43</v>
      </c>
      <c r="D174" s="68">
        <f>D169+D171+D173</f>
        <v>27243.025000000001</v>
      </c>
      <c r="E174" s="68">
        <f>E169+E171+E173</f>
        <v>19080.18</v>
      </c>
      <c r="F174" s="42">
        <f t="shared" ref="F174:K174" si="35">F169+F171+F173</f>
        <v>40817.285000000003</v>
      </c>
      <c r="G174" s="42">
        <f>G169+G171+G173</f>
        <v>33059.64</v>
      </c>
      <c r="H174" s="42">
        <f t="shared" si="35"/>
        <v>6303.67</v>
      </c>
      <c r="I174" s="42">
        <f t="shared" si="35"/>
        <v>15136.080000000002</v>
      </c>
      <c r="J174" s="42">
        <f t="shared" si="35"/>
        <v>5637.9800000000005</v>
      </c>
      <c r="K174" s="42">
        <f t="shared" si="35"/>
        <v>5981.91</v>
      </c>
    </row>
    <row r="175" spans="1:11" ht="32.25" customHeight="1" x14ac:dyDescent="0.3">
      <c r="A175" s="114" t="s">
        <v>267</v>
      </c>
      <c r="B175" s="114"/>
      <c r="C175" s="48">
        <v>44</v>
      </c>
      <c r="D175" s="68">
        <f>D176</f>
        <v>235.4</v>
      </c>
      <c r="E175" s="68">
        <f>E176</f>
        <v>308.5</v>
      </c>
      <c r="F175" s="42">
        <f>F176</f>
        <v>202.4</v>
      </c>
      <c r="G175" s="42">
        <f>H175+I175+J175+K175</f>
        <v>263.15999999999997</v>
      </c>
      <c r="H175" s="42">
        <f>H27</f>
        <v>53</v>
      </c>
      <c r="I175" s="42">
        <f t="shared" ref="I175:K175" si="36">I27</f>
        <v>80</v>
      </c>
      <c r="J175" s="42">
        <f t="shared" si="36"/>
        <v>80</v>
      </c>
      <c r="K175" s="42">
        <f t="shared" si="36"/>
        <v>50.16</v>
      </c>
    </row>
    <row r="176" spans="1:11" ht="15.6" x14ac:dyDescent="0.3">
      <c r="A176" s="114" t="s">
        <v>268</v>
      </c>
      <c r="B176" s="114"/>
      <c r="C176" s="60" t="s">
        <v>269</v>
      </c>
      <c r="D176" s="56">
        <f>D27</f>
        <v>235.4</v>
      </c>
      <c r="E176" s="56">
        <v>308.5</v>
      </c>
      <c r="F176" s="43">
        <f>F27</f>
        <v>202.4</v>
      </c>
      <c r="G176" s="43">
        <f>H176+I176+J176+K176</f>
        <v>263.15999999999997</v>
      </c>
      <c r="H176" s="43">
        <f>H27</f>
        <v>53</v>
      </c>
      <c r="I176" s="43">
        <f t="shared" ref="I176:K176" si="37">I27</f>
        <v>80</v>
      </c>
      <c r="J176" s="43">
        <f t="shared" si="37"/>
        <v>80</v>
      </c>
      <c r="K176" s="43">
        <f t="shared" si="37"/>
        <v>50.16</v>
      </c>
    </row>
    <row r="177" spans="1:11" ht="15.6" x14ac:dyDescent="0.3">
      <c r="A177" s="114" t="s">
        <v>270</v>
      </c>
      <c r="B177" s="114"/>
      <c r="C177" s="60" t="s">
        <v>271</v>
      </c>
      <c r="D177" s="45">
        <f t="shared" ref="D177:K177" si="38">SUM(D178:D179)</f>
        <v>27568.224999999999</v>
      </c>
      <c r="E177" s="45">
        <f t="shared" si="38"/>
        <v>19372.68</v>
      </c>
      <c r="F177" s="45">
        <f>F178+F179</f>
        <v>37915.834999999999</v>
      </c>
      <c r="G177" s="45">
        <f>SUM(G178:G179)</f>
        <v>34688.210000000006</v>
      </c>
      <c r="H177" s="45">
        <f t="shared" si="38"/>
        <v>6701.55</v>
      </c>
      <c r="I177" s="45">
        <f t="shared" si="38"/>
        <v>15514.050000000001</v>
      </c>
      <c r="J177" s="45">
        <f t="shared" si="38"/>
        <v>6087.2699999999995</v>
      </c>
      <c r="K177" s="45">
        <f t="shared" si="38"/>
        <v>6385.34</v>
      </c>
    </row>
    <row r="178" spans="1:11" ht="15.6" x14ac:dyDescent="0.3">
      <c r="A178" s="114" t="s">
        <v>272</v>
      </c>
      <c r="B178" s="114"/>
      <c r="C178" s="60" t="s">
        <v>273</v>
      </c>
      <c r="D178" s="45">
        <f>D192</f>
        <v>12896.924999999999</v>
      </c>
      <c r="E178" s="45">
        <f t="shared" ref="E178:K178" si="39">E192</f>
        <v>3945.18</v>
      </c>
      <c r="F178" s="45">
        <f t="shared" si="39"/>
        <v>22675.125</v>
      </c>
      <c r="G178" s="45">
        <f t="shared" si="39"/>
        <v>10179.11</v>
      </c>
      <c r="H178" s="45">
        <f t="shared" si="39"/>
        <v>350</v>
      </c>
      <c r="I178" s="45">
        <f t="shared" si="39"/>
        <v>9303.61</v>
      </c>
      <c r="J178" s="45">
        <f t="shared" si="39"/>
        <v>250</v>
      </c>
      <c r="K178" s="45">
        <f t="shared" si="39"/>
        <v>275.5</v>
      </c>
    </row>
    <row r="179" spans="1:11" ht="15.6" x14ac:dyDescent="0.3">
      <c r="A179" s="114" t="s">
        <v>274</v>
      </c>
      <c r="B179" s="114"/>
      <c r="C179" s="60" t="s">
        <v>275</v>
      </c>
      <c r="D179" s="45">
        <f>10959.1+3712.2</f>
        <v>14671.3</v>
      </c>
      <c r="E179" s="45">
        <f>15427.5</f>
        <v>15427.5</v>
      </c>
      <c r="F179" s="45">
        <f>11950+3290.71</f>
        <v>15240.71</v>
      </c>
      <c r="G179" s="45">
        <f>H179+I179+J179+K179</f>
        <v>24509.100000000002</v>
      </c>
      <c r="H179" s="45">
        <f>2917.5+279.05+3140.69+14.31</f>
        <v>6351.55</v>
      </c>
      <c r="I179" s="45">
        <f>2630+279.05+3323.42-22.03</f>
        <v>6210.4400000000005</v>
      </c>
      <c r="J179" s="45">
        <f>2448.22+279.05+3105.71+4.29</f>
        <v>5837.2699999999995</v>
      </c>
      <c r="K179" s="45">
        <f>2445.79+279.05+3385</f>
        <v>6109.84</v>
      </c>
    </row>
    <row r="180" spans="1:11" ht="15.6" x14ac:dyDescent="0.3">
      <c r="A180" s="114" t="s">
        <v>276</v>
      </c>
      <c r="B180" s="114"/>
      <c r="C180" s="48">
        <v>45</v>
      </c>
      <c r="D180" s="45"/>
      <c r="E180" s="45"/>
      <c r="F180" s="45"/>
      <c r="G180" s="45"/>
      <c r="H180" s="45"/>
      <c r="I180" s="45"/>
      <c r="J180" s="45"/>
      <c r="K180" s="45"/>
    </row>
    <row r="181" spans="1:11" ht="15.6" x14ac:dyDescent="0.3">
      <c r="A181" s="114" t="s">
        <v>277</v>
      </c>
      <c r="B181" s="114"/>
      <c r="C181" s="48">
        <v>46</v>
      </c>
      <c r="D181" s="68">
        <f>D169+D168+D171+D175+D172-D177</f>
        <v>8.3000000000029104</v>
      </c>
      <c r="E181" s="68">
        <f>E168+E169+E171+E175-E177</f>
        <v>24.299999999999272</v>
      </c>
      <c r="F181" s="68">
        <f>F168+F174+F180-F177</f>
        <v>2909.4500000000044</v>
      </c>
      <c r="G181" s="68">
        <f>G168+G174+G180-G177</f>
        <v>1280.8799999999974</v>
      </c>
      <c r="H181" s="68">
        <f>H168+H174+H180-H177</f>
        <v>-387.38000000000011</v>
      </c>
      <c r="I181" s="68">
        <f>I168+I174+I180-I177</f>
        <v>-365.34999999999854</v>
      </c>
      <c r="J181" s="68">
        <f t="shared" ref="J181:K181" si="40">J168+J174+J180-J177</f>
        <v>-414.63999999999942</v>
      </c>
      <c r="K181" s="68">
        <f t="shared" si="40"/>
        <v>-373.07000000000062</v>
      </c>
    </row>
    <row r="182" spans="1:11" ht="15.6" x14ac:dyDescent="0.3">
      <c r="A182" s="118" t="s">
        <v>278</v>
      </c>
      <c r="B182" s="112"/>
      <c r="C182" s="112"/>
      <c r="D182" s="112"/>
      <c r="E182" s="112"/>
      <c r="F182" s="112"/>
      <c r="G182" s="112"/>
      <c r="H182" s="112"/>
      <c r="I182" s="112"/>
      <c r="J182" s="112"/>
      <c r="K182" s="113"/>
    </row>
    <row r="183" spans="1:11" ht="15.6" x14ac:dyDescent="0.3">
      <c r="A183" s="114" t="s">
        <v>279</v>
      </c>
      <c r="B183" s="114"/>
      <c r="C183" s="53">
        <v>47</v>
      </c>
      <c r="D183" s="43">
        <f>D184+D185</f>
        <v>1133.9000000000001</v>
      </c>
      <c r="E183" s="43">
        <f>E184+E185</f>
        <v>1292.5999999999999</v>
      </c>
      <c r="F183" s="43">
        <f>F184+F185</f>
        <v>1293.5</v>
      </c>
      <c r="G183" s="43">
        <f t="shared" ref="G183:K183" si="41">G184+G185</f>
        <v>802.3599999999999</v>
      </c>
      <c r="H183" s="43">
        <f>H184+H185</f>
        <v>226.95999999999998</v>
      </c>
      <c r="I183" s="43">
        <f t="shared" si="41"/>
        <v>207.23</v>
      </c>
      <c r="J183" s="43">
        <f t="shared" si="41"/>
        <v>182.23</v>
      </c>
      <c r="K183" s="43">
        <f t="shared" si="41"/>
        <v>185.94</v>
      </c>
    </row>
    <row r="184" spans="1:11" ht="15.6" x14ac:dyDescent="0.3">
      <c r="A184" s="122" t="s">
        <v>280</v>
      </c>
      <c r="B184" s="122"/>
      <c r="C184" s="69" t="s">
        <v>281</v>
      </c>
      <c r="D184" s="70">
        <v>862.3</v>
      </c>
      <c r="E184" s="70">
        <v>942.6</v>
      </c>
      <c r="F184" s="70">
        <v>960</v>
      </c>
      <c r="G184" s="70">
        <f>H184+I184+J184+K184</f>
        <v>329.83</v>
      </c>
      <c r="H184" s="70">
        <f>103+5.83</f>
        <v>108.83</v>
      </c>
      <c r="I184" s="70">
        <f>65.8+23.3</f>
        <v>89.1</v>
      </c>
      <c r="J184" s="70">
        <f>66.3-2.2</f>
        <v>64.099999999999994</v>
      </c>
      <c r="K184" s="70">
        <f>54+13.8</f>
        <v>67.8</v>
      </c>
    </row>
    <row r="185" spans="1:11" ht="15.6" x14ac:dyDescent="0.3">
      <c r="A185" s="122" t="s">
        <v>282</v>
      </c>
      <c r="B185" s="122"/>
      <c r="C185" s="69" t="s">
        <v>283</v>
      </c>
      <c r="D185" s="70">
        <v>271.60000000000002</v>
      </c>
      <c r="E185" s="70">
        <v>350</v>
      </c>
      <c r="F185" s="70">
        <v>333.5</v>
      </c>
      <c r="G185" s="70">
        <f>G69</f>
        <v>472.53</v>
      </c>
      <c r="H185" s="70">
        <f t="shared" ref="H185:K185" si="42">H69</f>
        <v>118.13</v>
      </c>
      <c r="I185" s="70">
        <f t="shared" si="42"/>
        <v>118.13</v>
      </c>
      <c r="J185" s="70">
        <f t="shared" si="42"/>
        <v>118.13</v>
      </c>
      <c r="K185" s="70">
        <f t="shared" si="42"/>
        <v>118.14</v>
      </c>
    </row>
    <row r="186" spans="1:11" ht="15.6" x14ac:dyDescent="0.3">
      <c r="A186" s="114" t="s">
        <v>284</v>
      </c>
      <c r="B186" s="114"/>
      <c r="C186" s="53">
        <v>48</v>
      </c>
      <c r="D186" s="43">
        <v>4860</v>
      </c>
      <c r="E186" s="43">
        <v>5505.5</v>
      </c>
      <c r="F186" s="43">
        <f>F57</f>
        <v>7019.5300000000007</v>
      </c>
      <c r="G186" s="43">
        <f t="shared" ref="G186:K186" si="43">G57</f>
        <v>12633.550000000001</v>
      </c>
      <c r="H186" s="43">
        <f t="shared" si="43"/>
        <v>3158.25</v>
      </c>
      <c r="I186" s="43">
        <f t="shared" si="43"/>
        <v>3158.25</v>
      </c>
      <c r="J186" s="43">
        <f t="shared" si="43"/>
        <v>3158.7</v>
      </c>
      <c r="K186" s="43">
        <f t="shared" si="43"/>
        <v>3158.35</v>
      </c>
    </row>
    <row r="187" spans="1:11" ht="15.6" x14ac:dyDescent="0.3">
      <c r="A187" s="114" t="s">
        <v>285</v>
      </c>
      <c r="B187" s="114"/>
      <c r="C187" s="53">
        <v>49</v>
      </c>
      <c r="D187" s="43">
        <v>1065.01</v>
      </c>
      <c r="E187" s="43">
        <v>1211.2</v>
      </c>
      <c r="F187" s="43">
        <f>F58</f>
        <v>1453.05</v>
      </c>
      <c r="G187" s="43">
        <f t="shared" ref="G187:K187" si="44">G58</f>
        <v>2779.3809999999999</v>
      </c>
      <c r="H187" s="43">
        <f t="shared" si="44"/>
        <v>694.81500000000005</v>
      </c>
      <c r="I187" s="43">
        <f t="shared" si="44"/>
        <v>694.81500000000005</v>
      </c>
      <c r="J187" s="43">
        <f t="shared" si="44"/>
        <v>694.91399999999999</v>
      </c>
      <c r="K187" s="43">
        <f t="shared" si="44"/>
        <v>694.83699999999999</v>
      </c>
    </row>
    <row r="188" spans="1:11" ht="15.6" x14ac:dyDescent="0.3">
      <c r="A188" s="114" t="s">
        <v>286</v>
      </c>
      <c r="B188" s="114"/>
      <c r="C188" s="53">
        <v>50</v>
      </c>
      <c r="D188" s="43">
        <v>6392.6</v>
      </c>
      <c r="E188" s="43">
        <v>6192</v>
      </c>
      <c r="F188" s="43">
        <f>F59</f>
        <v>6501.4</v>
      </c>
      <c r="G188" s="43">
        <f>G59</f>
        <v>4674.54</v>
      </c>
      <c r="H188" s="43">
        <f t="shared" ref="H188:K188" si="45">H59</f>
        <v>1250</v>
      </c>
      <c r="I188" s="43">
        <f t="shared" si="45"/>
        <v>1150</v>
      </c>
      <c r="J188" s="43">
        <f t="shared" si="45"/>
        <v>770</v>
      </c>
      <c r="K188" s="43">
        <f t="shared" si="45"/>
        <v>1504.54</v>
      </c>
    </row>
    <row r="189" spans="1:11" ht="15.6" x14ac:dyDescent="0.3">
      <c r="A189" s="114" t="s">
        <v>287</v>
      </c>
      <c r="B189" s="114"/>
      <c r="C189" s="53">
        <v>51</v>
      </c>
      <c r="D189" s="43">
        <v>4325.5</v>
      </c>
      <c r="E189" s="43">
        <v>4615</v>
      </c>
      <c r="F189" s="43">
        <v>4580.7</v>
      </c>
      <c r="G189" s="43">
        <f>H189+I189+J189+K189</f>
        <v>5033.62</v>
      </c>
      <c r="H189" s="43">
        <f>H106</f>
        <v>1223.75</v>
      </c>
      <c r="I189" s="43">
        <f t="shared" ref="I189:J189" si="46">I106</f>
        <v>1323.75</v>
      </c>
      <c r="J189" s="43">
        <f t="shared" si="46"/>
        <v>1323.75</v>
      </c>
      <c r="K189" s="43">
        <f>K106</f>
        <v>1162.3699999999999</v>
      </c>
    </row>
    <row r="190" spans="1:11" ht="15.6" x14ac:dyDescent="0.3">
      <c r="A190" s="109" t="s">
        <v>288</v>
      </c>
      <c r="B190" s="109"/>
      <c r="C190" s="48">
        <v>52</v>
      </c>
      <c r="D190" s="42">
        <f>SUM(D186:D189)+D183</f>
        <v>17777.010000000002</v>
      </c>
      <c r="E190" s="42">
        <f t="shared" ref="E190:K190" si="47">SUM(E186:E189)+E183</f>
        <v>18816.3</v>
      </c>
      <c r="F190" s="42">
        <f t="shared" si="47"/>
        <v>20848.18</v>
      </c>
      <c r="G190" s="42">
        <f t="shared" si="47"/>
        <v>25923.451000000001</v>
      </c>
      <c r="H190" s="42">
        <f>SUM(H186:H189)+H183</f>
        <v>6553.7750000000005</v>
      </c>
      <c r="I190" s="42">
        <f t="shared" si="47"/>
        <v>6534.0450000000001</v>
      </c>
      <c r="J190" s="42">
        <f t="shared" si="47"/>
        <v>6129.5939999999991</v>
      </c>
      <c r="K190" s="42">
        <f t="shared" si="47"/>
        <v>6706.0369999999994</v>
      </c>
    </row>
    <row r="191" spans="1:11" ht="15.6" x14ac:dyDescent="0.3">
      <c r="A191" s="118" t="s">
        <v>289</v>
      </c>
      <c r="B191" s="112"/>
      <c r="C191" s="112"/>
      <c r="D191" s="112"/>
      <c r="E191" s="112"/>
      <c r="F191" s="112"/>
      <c r="G191" s="112"/>
      <c r="H191" s="112"/>
      <c r="I191" s="112"/>
      <c r="J191" s="112"/>
      <c r="K191" s="113"/>
    </row>
    <row r="192" spans="1:11" ht="15.6" x14ac:dyDescent="0.3">
      <c r="A192" s="109" t="s">
        <v>290</v>
      </c>
      <c r="B192" s="109"/>
      <c r="C192" s="48">
        <v>53</v>
      </c>
      <c r="D192" s="42">
        <f>SUM(D193:D199)</f>
        <v>12896.924999999999</v>
      </c>
      <c r="E192" s="42">
        <f t="shared" ref="E192:K192" si="48">SUM(E193:E199)</f>
        <v>3945.18</v>
      </c>
      <c r="F192" s="42">
        <f t="shared" si="48"/>
        <v>22675.125</v>
      </c>
      <c r="G192" s="42">
        <f t="shared" si="48"/>
        <v>10179.11</v>
      </c>
      <c r="H192" s="42">
        <f t="shared" si="48"/>
        <v>350</v>
      </c>
      <c r="I192" s="42">
        <f t="shared" si="48"/>
        <v>9303.61</v>
      </c>
      <c r="J192" s="42">
        <f t="shared" si="48"/>
        <v>250</v>
      </c>
      <c r="K192" s="42">
        <f t="shared" si="48"/>
        <v>275.5</v>
      </c>
    </row>
    <row r="193" spans="1:11" ht="15.6" x14ac:dyDescent="0.3">
      <c r="A193" s="114" t="s">
        <v>291</v>
      </c>
      <c r="B193" s="114"/>
      <c r="C193" s="60" t="s">
        <v>292</v>
      </c>
      <c r="D193" s="43">
        <v>0</v>
      </c>
      <c r="E193" s="43">
        <v>0</v>
      </c>
      <c r="F193" s="43">
        <v>3920</v>
      </c>
      <c r="G193" s="43">
        <v>0</v>
      </c>
      <c r="H193" s="43">
        <v>0</v>
      </c>
      <c r="I193" s="43">
        <v>0</v>
      </c>
      <c r="J193" s="43">
        <v>0</v>
      </c>
      <c r="K193" s="52">
        <v>0</v>
      </c>
    </row>
    <row r="194" spans="1:11" ht="15.6" x14ac:dyDescent="0.3">
      <c r="A194" s="114" t="s">
        <v>293</v>
      </c>
      <c r="B194" s="114"/>
      <c r="C194" s="60" t="s">
        <v>294</v>
      </c>
      <c r="D194" s="43">
        <v>4605.66</v>
      </c>
      <c r="E194" s="43">
        <v>2398.9</v>
      </c>
      <c r="F194" s="43">
        <v>4843.63</v>
      </c>
      <c r="G194" s="43">
        <v>0</v>
      </c>
      <c r="H194" s="43">
        <v>0</v>
      </c>
      <c r="I194" s="43">
        <v>0</v>
      </c>
      <c r="J194" s="43">
        <v>0</v>
      </c>
      <c r="K194" s="52">
        <v>0</v>
      </c>
    </row>
    <row r="195" spans="1:11" ht="15.6" x14ac:dyDescent="0.3">
      <c r="A195" s="114" t="s">
        <v>295</v>
      </c>
      <c r="B195" s="114"/>
      <c r="C195" s="60" t="s">
        <v>296</v>
      </c>
      <c r="D195" s="43"/>
      <c r="E195" s="43"/>
      <c r="F195" s="43"/>
      <c r="G195" s="43"/>
      <c r="H195" s="43"/>
      <c r="I195" s="43"/>
      <c r="J195" s="43"/>
      <c r="K195" s="52"/>
    </row>
    <row r="196" spans="1:11" ht="15.6" x14ac:dyDescent="0.3">
      <c r="A196" s="114" t="s">
        <v>297</v>
      </c>
      <c r="B196" s="114"/>
      <c r="C196" s="60" t="s">
        <v>298</v>
      </c>
      <c r="D196" s="43">
        <v>3088.835</v>
      </c>
      <c r="E196" s="43">
        <v>1283.58</v>
      </c>
      <c r="F196" s="43">
        <v>1283.575</v>
      </c>
      <c r="G196" s="43">
        <f>H196+I196+J196+K196</f>
        <v>1225.5</v>
      </c>
      <c r="H196" s="43">
        <v>350</v>
      </c>
      <c r="I196" s="43">
        <v>350</v>
      </c>
      <c r="J196" s="43">
        <v>250</v>
      </c>
      <c r="K196" s="52">
        <v>275.5</v>
      </c>
    </row>
    <row r="197" spans="1:11" ht="31.5" customHeight="1" x14ac:dyDescent="0.3">
      <c r="A197" s="114" t="s">
        <v>299</v>
      </c>
      <c r="B197" s="114"/>
      <c r="C197" s="60" t="s">
        <v>300</v>
      </c>
      <c r="D197" s="43">
        <v>0</v>
      </c>
      <c r="E197" s="43"/>
      <c r="F197" s="43">
        <v>0</v>
      </c>
      <c r="G197" s="43">
        <f>H197+I197+J197+K197</f>
        <v>8953.61</v>
      </c>
      <c r="H197" s="43">
        <v>0</v>
      </c>
      <c r="I197" s="43">
        <v>8953.61</v>
      </c>
      <c r="J197" s="43">
        <v>0</v>
      </c>
      <c r="K197" s="52">
        <v>0</v>
      </c>
    </row>
    <row r="198" spans="1:11" ht="15.6" x14ac:dyDescent="0.3">
      <c r="A198" s="114" t="s">
        <v>301</v>
      </c>
      <c r="B198" s="114"/>
      <c r="C198" s="60" t="s">
        <v>302</v>
      </c>
      <c r="D198" s="43"/>
      <c r="E198" s="43"/>
      <c r="F198" s="43"/>
      <c r="G198" s="43"/>
      <c r="H198" s="43"/>
      <c r="I198" s="43"/>
      <c r="J198" s="43"/>
      <c r="K198" s="52"/>
    </row>
    <row r="199" spans="1:11" ht="15.6" x14ac:dyDescent="0.3">
      <c r="A199" s="114" t="s">
        <v>303</v>
      </c>
      <c r="B199" s="114"/>
      <c r="C199" s="60" t="s">
        <v>304</v>
      </c>
      <c r="D199" s="43">
        <v>5202.43</v>
      </c>
      <c r="E199" s="43">
        <v>262.7</v>
      </c>
      <c r="F199" s="43">
        <f>16547.92-3920</f>
        <v>12627.919999999998</v>
      </c>
      <c r="G199" s="43">
        <v>0</v>
      </c>
      <c r="H199" s="43">
        <v>0</v>
      </c>
      <c r="I199" s="43">
        <v>0</v>
      </c>
      <c r="J199" s="43">
        <v>0</v>
      </c>
      <c r="K199" s="52">
        <v>0</v>
      </c>
    </row>
    <row r="200" spans="1:11" ht="15.6" x14ac:dyDescent="0.3">
      <c r="A200" s="109" t="s">
        <v>305</v>
      </c>
      <c r="B200" s="109"/>
      <c r="C200" s="48">
        <v>54</v>
      </c>
      <c r="D200" s="42">
        <f>SUM(D201:D204)</f>
        <v>12896.924999999999</v>
      </c>
      <c r="E200" s="42">
        <f t="shared" ref="E200:K200" si="49">SUM(E201:E204)</f>
        <v>3945.18</v>
      </c>
      <c r="F200" s="42">
        <f t="shared" si="49"/>
        <v>22675.125</v>
      </c>
      <c r="G200" s="42">
        <f t="shared" si="49"/>
        <v>8953.61</v>
      </c>
      <c r="H200" s="42">
        <f t="shared" si="49"/>
        <v>0</v>
      </c>
      <c r="I200" s="42">
        <f t="shared" si="49"/>
        <v>8953.61</v>
      </c>
      <c r="J200" s="42">
        <f t="shared" si="49"/>
        <v>0</v>
      </c>
      <c r="K200" s="42">
        <f t="shared" si="49"/>
        <v>0</v>
      </c>
    </row>
    <row r="201" spans="1:11" ht="15.6" x14ac:dyDescent="0.3">
      <c r="A201" s="114" t="s">
        <v>306</v>
      </c>
      <c r="B201" s="114"/>
      <c r="C201" s="60" t="s">
        <v>307</v>
      </c>
      <c r="D201" s="43"/>
      <c r="E201" s="43"/>
      <c r="F201" s="43"/>
      <c r="G201" s="43"/>
      <c r="H201" s="43"/>
      <c r="I201" s="43"/>
      <c r="J201" s="43"/>
      <c r="K201" s="52"/>
    </row>
    <row r="202" spans="1:11" ht="15.6" x14ac:dyDescent="0.3">
      <c r="A202" s="114" t="s">
        <v>308</v>
      </c>
      <c r="B202" s="114"/>
      <c r="C202" s="60" t="s">
        <v>309</v>
      </c>
      <c r="D202" s="43">
        <f>D192</f>
        <v>12896.924999999999</v>
      </c>
      <c r="E202" s="43">
        <f>E192</f>
        <v>3945.18</v>
      </c>
      <c r="F202" s="43">
        <f>F192</f>
        <v>22675.125</v>
      </c>
      <c r="G202" s="43">
        <f>H202+I202+J202+K202</f>
        <v>8953.61</v>
      </c>
      <c r="H202" s="43">
        <v>0</v>
      </c>
      <c r="I202" s="43">
        <v>8953.61</v>
      </c>
      <c r="J202" s="43">
        <v>0</v>
      </c>
      <c r="K202" s="52">
        <v>0</v>
      </c>
    </row>
    <row r="203" spans="1:11" ht="15.6" x14ac:dyDescent="0.3">
      <c r="A203" s="114" t="s">
        <v>310</v>
      </c>
      <c r="B203" s="114"/>
      <c r="C203" s="60" t="s">
        <v>311</v>
      </c>
      <c r="D203" s="43"/>
      <c r="E203" s="43"/>
      <c r="F203" s="43"/>
      <c r="G203" s="43"/>
      <c r="H203" s="43"/>
      <c r="I203" s="43"/>
      <c r="J203" s="43"/>
      <c r="K203" s="52"/>
    </row>
    <row r="204" spans="1:11" ht="15.6" x14ac:dyDescent="0.3">
      <c r="A204" s="114" t="s">
        <v>312</v>
      </c>
      <c r="B204" s="114"/>
      <c r="C204" s="60" t="s">
        <v>313</v>
      </c>
      <c r="D204" s="43"/>
      <c r="E204" s="43"/>
      <c r="F204" s="43"/>
      <c r="G204" s="43"/>
      <c r="H204" s="43"/>
      <c r="I204" s="43"/>
      <c r="J204" s="43"/>
      <c r="K204" s="52"/>
    </row>
    <row r="205" spans="1:11" ht="15.6" x14ac:dyDescent="0.3">
      <c r="A205" s="118" t="s">
        <v>314</v>
      </c>
      <c r="B205" s="112"/>
      <c r="C205" s="112"/>
      <c r="D205" s="112"/>
      <c r="E205" s="112"/>
      <c r="F205" s="112"/>
      <c r="G205" s="112"/>
      <c r="H205" s="112"/>
      <c r="I205" s="112"/>
      <c r="J205" s="112"/>
      <c r="K205" s="113"/>
    </row>
    <row r="206" spans="1:11" ht="15.6" x14ac:dyDescent="0.3">
      <c r="A206" s="109" t="s">
        <v>315</v>
      </c>
      <c r="B206" s="109"/>
      <c r="C206" s="48">
        <v>55</v>
      </c>
      <c r="D206" s="42">
        <v>42564.6</v>
      </c>
      <c r="E206" s="42">
        <v>44563.3</v>
      </c>
      <c r="F206" s="42">
        <v>57704.2</v>
      </c>
      <c r="G206" s="42">
        <f>K206</f>
        <v>59000</v>
      </c>
      <c r="H206" s="42">
        <f>58000</f>
        <v>58000</v>
      </c>
      <c r="I206" s="42">
        <v>58900</v>
      </c>
      <c r="J206" s="42">
        <v>58900</v>
      </c>
      <c r="K206" s="59">
        <v>59000</v>
      </c>
    </row>
    <row r="207" spans="1:11" ht="15.6" x14ac:dyDescent="0.3">
      <c r="A207" s="109" t="s">
        <v>316</v>
      </c>
      <c r="B207" s="109"/>
      <c r="C207" s="48">
        <v>56</v>
      </c>
      <c r="D207" s="42">
        <f>D208-D209</f>
        <v>41964.2</v>
      </c>
      <c r="E207" s="42">
        <f>E208-E209</f>
        <v>39933.799999999996</v>
      </c>
      <c r="F207" s="42">
        <f t="shared" ref="F207:J207" si="50">F208-F209</f>
        <v>56928</v>
      </c>
      <c r="G207" s="42">
        <f t="shared" si="50"/>
        <v>65111.41</v>
      </c>
      <c r="H207" s="42">
        <f t="shared" si="50"/>
        <v>56837.8</v>
      </c>
      <c r="I207" s="42">
        <f t="shared" si="50"/>
        <v>65591.41</v>
      </c>
      <c r="J207" s="42">
        <f t="shared" si="50"/>
        <v>65511.41</v>
      </c>
      <c r="K207" s="42">
        <f>K208-K209</f>
        <v>65111.41</v>
      </c>
    </row>
    <row r="208" spans="1:11" ht="15.6" x14ac:dyDescent="0.3">
      <c r="A208" s="114" t="s">
        <v>317</v>
      </c>
      <c r="B208" s="114"/>
      <c r="C208" s="60" t="s">
        <v>318</v>
      </c>
      <c r="D208" s="43">
        <v>56321.599999999999</v>
      </c>
      <c r="E208" s="43">
        <v>58983.199999999997</v>
      </c>
      <c r="F208" s="43">
        <v>77457.8</v>
      </c>
      <c r="G208" s="43">
        <f>K208</f>
        <v>86411.41</v>
      </c>
      <c r="H208" s="43">
        <f>F208+H194+H199</f>
        <v>77457.8</v>
      </c>
      <c r="I208" s="43">
        <f>H208+I194+I197</f>
        <v>86411.41</v>
      </c>
      <c r="J208" s="43">
        <f>I208+J194</f>
        <v>86411.41</v>
      </c>
      <c r="K208" s="52">
        <f>J208</f>
        <v>86411.41</v>
      </c>
    </row>
    <row r="209" spans="1:11" ht="15.6" x14ac:dyDescent="0.3">
      <c r="A209" s="114" t="s">
        <v>319</v>
      </c>
      <c r="B209" s="114"/>
      <c r="C209" s="60" t="s">
        <v>320</v>
      </c>
      <c r="D209" s="43">
        <v>14357.4</v>
      </c>
      <c r="E209" s="43">
        <v>19049.400000000001</v>
      </c>
      <c r="F209" s="43">
        <v>20529.8</v>
      </c>
      <c r="G209" s="43">
        <f>K209</f>
        <v>21300</v>
      </c>
      <c r="H209" s="43">
        <v>20620</v>
      </c>
      <c r="I209" s="43">
        <v>20820</v>
      </c>
      <c r="J209" s="43">
        <v>20900</v>
      </c>
      <c r="K209" s="52">
        <v>21300</v>
      </c>
    </row>
    <row r="210" spans="1:11" ht="15.6" x14ac:dyDescent="0.3">
      <c r="A210" s="114" t="s">
        <v>321</v>
      </c>
      <c r="B210" s="114"/>
      <c r="C210" s="60" t="s">
        <v>322</v>
      </c>
      <c r="D210" s="43"/>
      <c r="E210" s="43"/>
      <c r="F210" s="43"/>
      <c r="G210" s="43"/>
      <c r="H210" s="43"/>
      <c r="I210" s="43"/>
      <c r="J210" s="43"/>
      <c r="K210" s="52"/>
    </row>
    <row r="211" spans="1:11" ht="15.6" x14ac:dyDescent="0.3">
      <c r="A211" s="114" t="s">
        <v>323</v>
      </c>
      <c r="B211" s="114"/>
      <c r="C211" s="60" t="s">
        <v>324</v>
      </c>
      <c r="D211" s="43"/>
      <c r="E211" s="43"/>
      <c r="F211" s="43"/>
      <c r="G211" s="43"/>
      <c r="H211" s="43"/>
      <c r="I211" s="43"/>
      <c r="J211" s="43"/>
      <c r="K211" s="52"/>
    </row>
    <row r="212" spans="1:11" ht="15.6" x14ac:dyDescent="0.3">
      <c r="A212" s="114" t="s">
        <v>325</v>
      </c>
      <c r="B212" s="114"/>
      <c r="C212" s="60" t="s">
        <v>326</v>
      </c>
      <c r="D212" s="43"/>
      <c r="E212" s="43"/>
      <c r="F212" s="43"/>
      <c r="G212" s="43"/>
      <c r="H212" s="43"/>
      <c r="I212" s="43"/>
      <c r="J212" s="43"/>
      <c r="K212" s="52"/>
    </row>
    <row r="213" spans="1:11" ht="15.6" x14ac:dyDescent="0.3">
      <c r="A213" s="114" t="s">
        <v>327</v>
      </c>
      <c r="B213" s="114"/>
      <c r="C213" s="60" t="s">
        <v>328</v>
      </c>
      <c r="D213" s="43"/>
      <c r="E213" s="43"/>
      <c r="F213" s="43"/>
      <c r="G213" s="43"/>
      <c r="H213" s="43"/>
      <c r="I213" s="43"/>
      <c r="J213" s="43"/>
      <c r="K213" s="52"/>
    </row>
    <row r="214" spans="1:11" ht="15.6" x14ac:dyDescent="0.3">
      <c r="A214" s="109" t="s">
        <v>329</v>
      </c>
      <c r="B214" s="109"/>
      <c r="C214" s="60">
        <v>57</v>
      </c>
      <c r="D214" s="42">
        <v>328.7</v>
      </c>
      <c r="E214" s="42">
        <v>260</v>
      </c>
      <c r="F214" s="42">
        <v>527</v>
      </c>
      <c r="G214" s="42">
        <f>K214</f>
        <v>690</v>
      </c>
      <c r="H214" s="42">
        <v>650</v>
      </c>
      <c r="I214" s="42">
        <v>660</v>
      </c>
      <c r="J214" s="42">
        <v>660</v>
      </c>
      <c r="K214" s="59">
        <v>690</v>
      </c>
    </row>
    <row r="215" spans="1:11" ht="15.6" x14ac:dyDescent="0.3">
      <c r="A215" s="114" t="s">
        <v>330</v>
      </c>
      <c r="B215" s="114"/>
      <c r="C215" s="60" t="s">
        <v>331</v>
      </c>
      <c r="D215" s="43">
        <v>8.3000000000000007</v>
      </c>
      <c r="E215" s="43">
        <v>21.8</v>
      </c>
      <c r="F215" s="43">
        <v>24.95</v>
      </c>
      <c r="G215" s="43">
        <f>K215</f>
        <v>-373.07000000000062</v>
      </c>
      <c r="H215" s="43">
        <f>H181</f>
        <v>-387.38000000000011</v>
      </c>
      <c r="I215" s="43">
        <f t="shared" ref="I215:K215" si="51">I181</f>
        <v>-365.34999999999854</v>
      </c>
      <c r="J215" s="43">
        <f t="shared" si="51"/>
        <v>-414.63999999999942</v>
      </c>
      <c r="K215" s="43">
        <f t="shared" si="51"/>
        <v>-373.07000000000062</v>
      </c>
    </row>
    <row r="216" spans="1:11" ht="15.6" x14ac:dyDescent="0.3">
      <c r="A216" s="109" t="s">
        <v>332</v>
      </c>
      <c r="B216" s="109"/>
      <c r="C216" s="67">
        <v>58</v>
      </c>
      <c r="D216" s="42">
        <v>42893.3</v>
      </c>
      <c r="E216" s="42">
        <v>44823.3</v>
      </c>
      <c r="F216" s="42">
        <v>58231.199999999997</v>
      </c>
      <c r="G216" s="42">
        <f>K216</f>
        <v>59690</v>
      </c>
      <c r="H216" s="42">
        <f>H214+H206</f>
        <v>58650</v>
      </c>
      <c r="I216" s="42">
        <f t="shared" ref="I216:K216" si="52">I214+I206</f>
        <v>59560</v>
      </c>
      <c r="J216" s="42">
        <f t="shared" si="52"/>
        <v>59560</v>
      </c>
      <c r="K216" s="42">
        <f t="shared" si="52"/>
        <v>59690</v>
      </c>
    </row>
    <row r="217" spans="1:11" ht="15.6" x14ac:dyDescent="0.3">
      <c r="A217" s="109" t="s">
        <v>333</v>
      </c>
      <c r="B217" s="109"/>
      <c r="C217" s="67">
        <v>59</v>
      </c>
      <c r="D217" s="42">
        <v>27234.7</v>
      </c>
      <c r="E217" s="42">
        <v>34234.5</v>
      </c>
      <c r="F217" s="42">
        <v>31526.400000000001</v>
      </c>
      <c r="G217" s="42">
        <f>K217</f>
        <v>31720.5</v>
      </c>
      <c r="H217" s="42">
        <v>31526.400000000001</v>
      </c>
      <c r="I217" s="42">
        <v>31526.400000000001</v>
      </c>
      <c r="J217" s="42">
        <v>31526.400000000001</v>
      </c>
      <c r="K217" s="59">
        <v>31720.5</v>
      </c>
    </row>
    <row r="218" spans="1:11" ht="15.6" x14ac:dyDescent="0.3">
      <c r="A218" s="109" t="s">
        <v>334</v>
      </c>
      <c r="B218" s="109"/>
      <c r="C218" s="67">
        <v>60</v>
      </c>
      <c r="D218" s="42"/>
      <c r="E218" s="42"/>
      <c r="F218" s="42"/>
      <c r="G218" s="42"/>
      <c r="H218" s="42"/>
      <c r="I218" s="42"/>
      <c r="J218" s="42"/>
      <c r="K218" s="59"/>
    </row>
    <row r="219" spans="1:11" ht="15.6" x14ac:dyDescent="0.3">
      <c r="A219" s="109" t="s">
        <v>335</v>
      </c>
      <c r="B219" s="109"/>
      <c r="C219" s="67">
        <v>61</v>
      </c>
      <c r="D219" s="42"/>
      <c r="E219" s="42"/>
      <c r="F219" s="42"/>
      <c r="G219" s="42"/>
      <c r="H219" s="42"/>
      <c r="I219" s="42"/>
      <c r="J219" s="42"/>
      <c r="K219" s="59"/>
    </row>
    <row r="220" spans="1:11" ht="15.6" x14ac:dyDescent="0.3">
      <c r="A220" s="118" t="s">
        <v>336</v>
      </c>
      <c r="B220" s="112"/>
      <c r="C220" s="112"/>
      <c r="D220" s="112"/>
      <c r="E220" s="112"/>
      <c r="F220" s="112"/>
      <c r="G220" s="112"/>
      <c r="H220" s="112"/>
      <c r="I220" s="112"/>
      <c r="J220" s="112"/>
      <c r="K220" s="113"/>
    </row>
    <row r="221" spans="1:11" ht="15.6" x14ac:dyDescent="0.3">
      <c r="A221" s="109" t="s">
        <v>337</v>
      </c>
      <c r="B221" s="109"/>
      <c r="C221" s="48">
        <v>62</v>
      </c>
      <c r="D221" s="48">
        <f>SUM(D222:D224)</f>
        <v>0</v>
      </c>
      <c r="E221" s="48">
        <f t="shared" ref="E221:K221" si="53">SUM(E222:E224)</f>
        <v>0</v>
      </c>
      <c r="F221" s="48">
        <f t="shared" si="53"/>
        <v>0</v>
      </c>
      <c r="G221" s="48">
        <f t="shared" si="53"/>
        <v>0</v>
      </c>
      <c r="H221" s="48">
        <f t="shared" si="53"/>
        <v>0</v>
      </c>
      <c r="I221" s="48">
        <f t="shared" si="53"/>
        <v>0</v>
      </c>
      <c r="J221" s="48">
        <f t="shared" si="53"/>
        <v>0</v>
      </c>
      <c r="K221" s="48">
        <f t="shared" si="53"/>
        <v>0</v>
      </c>
    </row>
    <row r="222" spans="1:11" ht="15.6" x14ac:dyDescent="0.3">
      <c r="A222" s="114" t="s">
        <v>338</v>
      </c>
      <c r="B222" s="114"/>
      <c r="C222" s="60" t="s">
        <v>339</v>
      </c>
      <c r="D222" s="53"/>
      <c r="E222" s="53"/>
      <c r="F222" s="53"/>
      <c r="G222" s="53"/>
      <c r="H222" s="53"/>
      <c r="I222" s="53"/>
      <c r="J222" s="53"/>
      <c r="K222" s="62"/>
    </row>
    <row r="223" spans="1:11" ht="15.6" x14ac:dyDescent="0.3">
      <c r="A223" s="114" t="s">
        <v>340</v>
      </c>
      <c r="B223" s="114"/>
      <c r="C223" s="60" t="s">
        <v>341</v>
      </c>
      <c r="D223" s="53"/>
      <c r="E223" s="53"/>
      <c r="F223" s="53"/>
      <c r="G223" s="53"/>
      <c r="H223" s="53"/>
      <c r="I223" s="53"/>
      <c r="J223" s="53"/>
      <c r="K223" s="62"/>
    </row>
    <row r="224" spans="1:11" ht="15.6" x14ac:dyDescent="0.3">
      <c r="A224" s="114" t="s">
        <v>342</v>
      </c>
      <c r="B224" s="114"/>
      <c r="C224" s="60" t="s">
        <v>343</v>
      </c>
      <c r="D224" s="53"/>
      <c r="E224" s="53"/>
      <c r="F224" s="53"/>
      <c r="G224" s="53"/>
      <c r="H224" s="53"/>
      <c r="I224" s="53"/>
      <c r="J224" s="53"/>
      <c r="K224" s="62"/>
    </row>
    <row r="225" spans="1:11" ht="15.6" x14ac:dyDescent="0.3">
      <c r="A225" s="109" t="s">
        <v>344</v>
      </c>
      <c r="B225" s="109"/>
      <c r="C225" s="48">
        <v>63</v>
      </c>
      <c r="D225" s="48">
        <f>D226+D229+D232</f>
        <v>0</v>
      </c>
      <c r="E225" s="48">
        <f t="shared" ref="E225:K225" si="54">E226+E229+E232</f>
        <v>0</v>
      </c>
      <c r="F225" s="48">
        <f t="shared" si="54"/>
        <v>0</v>
      </c>
      <c r="G225" s="48">
        <f t="shared" si="54"/>
        <v>0</v>
      </c>
      <c r="H225" s="48">
        <f t="shared" si="54"/>
        <v>0</v>
      </c>
      <c r="I225" s="48">
        <f t="shared" si="54"/>
        <v>0</v>
      </c>
      <c r="J225" s="48">
        <f t="shared" si="54"/>
        <v>0</v>
      </c>
      <c r="K225" s="48">
        <f t="shared" si="54"/>
        <v>0</v>
      </c>
    </row>
    <row r="226" spans="1:11" ht="16.2" x14ac:dyDescent="0.3">
      <c r="A226" s="119" t="s">
        <v>345</v>
      </c>
      <c r="B226" s="119"/>
      <c r="C226" s="64" t="s">
        <v>346</v>
      </c>
      <c r="D226" s="63">
        <f>SUM(D227:D228)</f>
        <v>0</v>
      </c>
      <c r="E226" s="63">
        <f t="shared" ref="E226:K226" si="55">SUM(E227:E228)</f>
        <v>0</v>
      </c>
      <c r="F226" s="63">
        <f t="shared" si="55"/>
        <v>0</v>
      </c>
      <c r="G226" s="63">
        <f t="shared" si="55"/>
        <v>0</v>
      </c>
      <c r="H226" s="63">
        <f t="shared" si="55"/>
        <v>0</v>
      </c>
      <c r="I226" s="63">
        <f t="shared" si="55"/>
        <v>0</v>
      </c>
      <c r="J226" s="63">
        <f t="shared" si="55"/>
        <v>0</v>
      </c>
      <c r="K226" s="63">
        <f t="shared" si="55"/>
        <v>0</v>
      </c>
    </row>
    <row r="227" spans="1:11" ht="15.6" x14ac:dyDescent="0.3">
      <c r="A227" s="114" t="s">
        <v>272</v>
      </c>
      <c r="B227" s="114"/>
      <c r="C227" s="60" t="s">
        <v>347</v>
      </c>
      <c r="D227" s="53"/>
      <c r="E227" s="53"/>
      <c r="F227" s="53"/>
      <c r="G227" s="53"/>
      <c r="H227" s="53"/>
      <c r="I227" s="53"/>
      <c r="J227" s="53"/>
      <c r="K227" s="62"/>
    </row>
    <row r="228" spans="1:11" ht="15.6" x14ac:dyDescent="0.3">
      <c r="A228" s="114" t="s">
        <v>274</v>
      </c>
      <c r="B228" s="114"/>
      <c r="C228" s="60" t="s">
        <v>348</v>
      </c>
      <c r="D228" s="53"/>
      <c r="E228" s="53"/>
      <c r="F228" s="53"/>
      <c r="G228" s="53"/>
      <c r="H228" s="53"/>
      <c r="I228" s="53"/>
      <c r="J228" s="53"/>
      <c r="K228" s="62"/>
    </row>
    <row r="229" spans="1:11" ht="16.2" x14ac:dyDescent="0.3">
      <c r="A229" s="119" t="s">
        <v>349</v>
      </c>
      <c r="B229" s="119"/>
      <c r="C229" s="64" t="s">
        <v>350</v>
      </c>
      <c r="D229" s="63">
        <f>SUM(D230:D231)</f>
        <v>0</v>
      </c>
      <c r="E229" s="63">
        <f>SUM(E230:E231)</f>
        <v>0</v>
      </c>
      <c r="F229" s="63">
        <f t="shared" ref="F229:K229" si="56">SUM(F230:F231)</f>
        <v>0</v>
      </c>
      <c r="G229" s="63">
        <f t="shared" si="56"/>
        <v>0</v>
      </c>
      <c r="H229" s="63">
        <f t="shared" si="56"/>
        <v>0</v>
      </c>
      <c r="I229" s="63">
        <f t="shared" si="56"/>
        <v>0</v>
      </c>
      <c r="J229" s="63">
        <f t="shared" si="56"/>
        <v>0</v>
      </c>
      <c r="K229" s="63">
        <f t="shared" si="56"/>
        <v>0</v>
      </c>
    </row>
    <row r="230" spans="1:11" ht="15.6" x14ac:dyDescent="0.3">
      <c r="A230" s="114" t="s">
        <v>272</v>
      </c>
      <c r="B230" s="114"/>
      <c r="C230" s="60" t="s">
        <v>351</v>
      </c>
      <c r="D230" s="53"/>
      <c r="E230" s="53"/>
      <c r="F230" s="53"/>
      <c r="G230" s="53"/>
      <c r="H230" s="53"/>
      <c r="I230" s="53"/>
      <c r="J230" s="53"/>
      <c r="K230" s="62"/>
    </row>
    <row r="231" spans="1:11" ht="15.6" x14ac:dyDescent="0.3">
      <c r="A231" s="114" t="s">
        <v>274</v>
      </c>
      <c r="B231" s="114"/>
      <c r="C231" s="60" t="s">
        <v>352</v>
      </c>
      <c r="D231" s="53"/>
      <c r="E231" s="53"/>
      <c r="F231" s="53"/>
      <c r="G231" s="53"/>
      <c r="H231" s="53"/>
      <c r="I231" s="62"/>
      <c r="J231" s="62"/>
      <c r="K231" s="62"/>
    </row>
    <row r="232" spans="1:11" ht="16.2" x14ac:dyDescent="0.3">
      <c r="A232" s="119" t="s">
        <v>353</v>
      </c>
      <c r="B232" s="119"/>
      <c r="C232" s="64" t="s">
        <v>354</v>
      </c>
      <c r="D232" s="63">
        <f>SUM(D233:D234)</f>
        <v>0</v>
      </c>
      <c r="E232" s="63">
        <f t="shared" ref="E232:K232" si="57">SUM(E233:E234)</f>
        <v>0</v>
      </c>
      <c r="F232" s="63">
        <f t="shared" si="57"/>
        <v>0</v>
      </c>
      <c r="G232" s="63">
        <f t="shared" si="57"/>
        <v>0</v>
      </c>
      <c r="H232" s="63">
        <f t="shared" si="57"/>
        <v>0</v>
      </c>
      <c r="I232" s="63">
        <f t="shared" si="57"/>
        <v>0</v>
      </c>
      <c r="J232" s="63">
        <f t="shared" si="57"/>
        <v>0</v>
      </c>
      <c r="K232" s="63">
        <f t="shared" si="57"/>
        <v>0</v>
      </c>
    </row>
    <row r="233" spans="1:11" ht="15.6" x14ac:dyDescent="0.3">
      <c r="A233" s="114" t="s">
        <v>272</v>
      </c>
      <c r="B233" s="114"/>
      <c r="C233" s="60" t="s">
        <v>355</v>
      </c>
      <c r="D233" s="62"/>
      <c r="E233" s="62"/>
      <c r="F233" s="62"/>
      <c r="G233" s="62"/>
      <c r="H233" s="62"/>
      <c r="I233" s="62"/>
      <c r="J233" s="62"/>
      <c r="K233" s="62"/>
    </row>
    <row r="234" spans="1:11" ht="15.6" x14ac:dyDescent="0.3">
      <c r="A234" s="114" t="s">
        <v>274</v>
      </c>
      <c r="B234" s="114"/>
      <c r="C234" s="60" t="s">
        <v>356</v>
      </c>
      <c r="D234" s="62"/>
      <c r="E234" s="62"/>
      <c r="F234" s="62"/>
      <c r="G234" s="62"/>
      <c r="H234" s="62"/>
      <c r="I234" s="62"/>
      <c r="J234" s="62"/>
      <c r="K234" s="62"/>
    </row>
    <row r="235" spans="1:11" ht="15.6" x14ac:dyDescent="0.3">
      <c r="A235" s="109" t="s">
        <v>357</v>
      </c>
      <c r="B235" s="109"/>
      <c r="C235" s="48">
        <v>64</v>
      </c>
      <c r="D235" s="71">
        <f>SUM(D236:D238)</f>
        <v>0</v>
      </c>
      <c r="E235" s="71">
        <f t="shared" ref="E235:K235" si="58">SUM(E236:E238)</f>
        <v>0</v>
      </c>
      <c r="F235" s="71">
        <f t="shared" si="58"/>
        <v>0</v>
      </c>
      <c r="G235" s="71">
        <f t="shared" si="58"/>
        <v>0</v>
      </c>
      <c r="H235" s="71">
        <f t="shared" si="58"/>
        <v>0</v>
      </c>
      <c r="I235" s="71">
        <f t="shared" si="58"/>
        <v>0</v>
      </c>
      <c r="J235" s="71">
        <f t="shared" si="58"/>
        <v>0</v>
      </c>
      <c r="K235" s="71">
        <f t="shared" si="58"/>
        <v>0</v>
      </c>
    </row>
    <row r="236" spans="1:11" ht="15.6" x14ac:dyDescent="0.3">
      <c r="A236" s="114" t="s">
        <v>338</v>
      </c>
      <c r="B236" s="114"/>
      <c r="C236" s="60" t="s">
        <v>358</v>
      </c>
      <c r="D236" s="62"/>
      <c r="E236" s="62"/>
      <c r="F236" s="62"/>
      <c r="G236" s="62"/>
      <c r="H236" s="62"/>
      <c r="I236" s="62"/>
      <c r="J236" s="62"/>
      <c r="K236" s="62"/>
    </row>
    <row r="237" spans="1:11" ht="15.6" x14ac:dyDescent="0.3">
      <c r="A237" s="114" t="s">
        <v>340</v>
      </c>
      <c r="B237" s="114"/>
      <c r="C237" s="60" t="s">
        <v>359</v>
      </c>
      <c r="D237" s="62"/>
      <c r="E237" s="62"/>
      <c r="F237" s="62"/>
      <c r="G237" s="62"/>
      <c r="H237" s="62"/>
      <c r="I237" s="62"/>
      <c r="J237" s="62"/>
      <c r="K237" s="62"/>
    </row>
    <row r="238" spans="1:11" ht="15.6" x14ac:dyDescent="0.3">
      <c r="A238" s="114" t="s">
        <v>342</v>
      </c>
      <c r="B238" s="114"/>
      <c r="C238" s="60" t="s">
        <v>360</v>
      </c>
      <c r="D238" s="62"/>
      <c r="E238" s="62"/>
      <c r="F238" s="62"/>
      <c r="G238" s="62"/>
      <c r="H238" s="62"/>
      <c r="I238" s="62"/>
      <c r="J238" s="62"/>
      <c r="K238" s="62"/>
    </row>
    <row r="239" spans="1:11" ht="15.6" x14ac:dyDescent="0.3">
      <c r="A239" s="118" t="s">
        <v>361</v>
      </c>
      <c r="B239" s="112"/>
      <c r="C239" s="112"/>
      <c r="D239" s="112"/>
      <c r="E239" s="112"/>
      <c r="F239" s="112"/>
      <c r="G239" s="112"/>
      <c r="H239" s="112"/>
      <c r="I239" s="112"/>
      <c r="J239" s="112"/>
      <c r="K239" s="113"/>
    </row>
    <row r="240" spans="1:11" ht="15.6" x14ac:dyDescent="0.3">
      <c r="A240" s="109" t="s">
        <v>362</v>
      </c>
      <c r="B240" s="109"/>
      <c r="C240" s="48">
        <v>65</v>
      </c>
      <c r="D240" s="59">
        <f t="shared" ref="D240:K240" si="59">(D129/D216)</f>
        <v>1.1656832185909105E-4</v>
      </c>
      <c r="E240" s="59">
        <f t="shared" si="59"/>
        <v>5.4882170656777728E-4</v>
      </c>
      <c r="F240" s="59">
        <f t="shared" si="59"/>
        <v>4.0940251961143543E-4</v>
      </c>
      <c r="G240" s="59">
        <f t="shared" si="59"/>
        <v>-4.9122298542469082E-3</v>
      </c>
      <c r="H240" s="59">
        <f t="shared" si="59"/>
        <v>-1.3160272804774152E-3</v>
      </c>
      <c r="I240" s="59">
        <f t="shared" si="59"/>
        <v>-7.7493284083278468E-4</v>
      </c>
      <c r="J240" s="59">
        <f t="shared" si="59"/>
        <v>-3.294056413700462E-3</v>
      </c>
      <c r="K240" s="59">
        <f t="shared" si="59"/>
        <v>4.4099514156474703E-4</v>
      </c>
    </row>
    <row r="241" spans="1:11" ht="15.6" x14ac:dyDescent="0.3">
      <c r="A241" s="109" t="s">
        <v>363</v>
      </c>
      <c r="B241" s="109"/>
      <c r="C241" s="48">
        <v>66</v>
      </c>
      <c r="D241" s="59">
        <f>(D129/D27)</f>
        <v>2.1240441801183306E-2</v>
      </c>
      <c r="E241" s="59">
        <f>(E129/E27)</f>
        <v>7.9740680713126275E-2</v>
      </c>
      <c r="F241" s="59">
        <f>(F129/F27)</f>
        <v>0.11778656126480937</v>
      </c>
      <c r="G241" s="59">
        <f>(G129/G27)</f>
        <v>-1.1141928864569008</v>
      </c>
      <c r="H241" s="59">
        <f>(H129/H31)</f>
        <v>-1.7474530224134117</v>
      </c>
      <c r="I241" s="59">
        <f t="shared" ref="I241:K241" si="60">(I129/I31)</f>
        <v>-0.69229038548073574</v>
      </c>
      <c r="J241" s="59">
        <f t="shared" si="60"/>
        <v>-2.9427628618568997</v>
      </c>
      <c r="K241" s="59">
        <f t="shared" si="60"/>
        <v>0.62973684210525727</v>
      </c>
    </row>
    <row r="242" spans="1:11" ht="15.6" x14ac:dyDescent="0.3">
      <c r="A242" s="109" t="s">
        <v>364</v>
      </c>
      <c r="B242" s="109"/>
      <c r="C242" s="48">
        <v>67</v>
      </c>
      <c r="D242" s="71"/>
      <c r="E242" s="71"/>
      <c r="F242" s="71"/>
      <c r="G242" s="71"/>
      <c r="H242" s="71"/>
      <c r="I242" s="71"/>
      <c r="J242" s="71"/>
      <c r="K242" s="71"/>
    </row>
    <row r="243" spans="1:11" ht="15.6" x14ac:dyDescent="0.3">
      <c r="A243" s="109" t="s">
        <v>365</v>
      </c>
      <c r="B243" s="109"/>
      <c r="C243" s="48">
        <v>68</v>
      </c>
      <c r="D243" s="71"/>
      <c r="E243" s="71"/>
      <c r="F243" s="71"/>
      <c r="G243" s="71"/>
      <c r="H243" s="71"/>
      <c r="I243" s="71"/>
      <c r="J243" s="71"/>
      <c r="K243" s="71"/>
    </row>
    <row r="244" spans="1:11" ht="15.6" x14ac:dyDescent="0.3">
      <c r="A244" s="118" t="s">
        <v>366</v>
      </c>
      <c r="B244" s="112"/>
      <c r="C244" s="112"/>
      <c r="D244" s="112"/>
      <c r="E244" s="112"/>
      <c r="F244" s="112"/>
      <c r="G244" s="112"/>
      <c r="H244" s="112"/>
      <c r="I244" s="112"/>
      <c r="J244" s="112"/>
      <c r="K244" s="113"/>
    </row>
    <row r="245" spans="1:11" ht="15.6" x14ac:dyDescent="0.3">
      <c r="A245" s="114" t="s">
        <v>367</v>
      </c>
      <c r="B245" s="123"/>
      <c r="C245" s="71">
        <v>69</v>
      </c>
      <c r="D245" s="78">
        <f>SUM(D246:D248)</f>
        <v>79.5</v>
      </c>
      <c r="E245" s="78">
        <f t="shared" ref="E245:K245" si="61">SUM(E246:E248)</f>
        <v>80.5</v>
      </c>
      <c r="F245" s="78">
        <f t="shared" si="61"/>
        <v>90.5</v>
      </c>
      <c r="G245" s="78">
        <f t="shared" si="61"/>
        <v>100.5</v>
      </c>
      <c r="H245" s="78">
        <f t="shared" si="61"/>
        <v>100.5</v>
      </c>
      <c r="I245" s="78">
        <f t="shared" si="61"/>
        <v>100.5</v>
      </c>
      <c r="J245" s="78">
        <f t="shared" si="61"/>
        <v>100.5</v>
      </c>
      <c r="K245" s="78">
        <f t="shared" si="61"/>
        <v>100.5</v>
      </c>
    </row>
    <row r="246" spans="1:11" ht="15.6" x14ac:dyDescent="0.3">
      <c r="A246" s="114" t="s">
        <v>368</v>
      </c>
      <c r="B246" s="123"/>
      <c r="C246" s="79" t="s">
        <v>369</v>
      </c>
      <c r="D246" s="80">
        <v>1</v>
      </c>
      <c r="E246" s="80">
        <v>1</v>
      </c>
      <c r="F246" s="80">
        <v>1</v>
      </c>
      <c r="G246" s="80">
        <v>1</v>
      </c>
      <c r="H246" s="80">
        <v>1</v>
      </c>
      <c r="I246" s="80">
        <v>1</v>
      </c>
      <c r="J246" s="80">
        <v>1</v>
      </c>
      <c r="K246" s="80">
        <v>1</v>
      </c>
    </row>
    <row r="247" spans="1:11" ht="15.6" x14ac:dyDescent="0.3">
      <c r="A247" s="114" t="s">
        <v>370</v>
      </c>
      <c r="B247" s="123"/>
      <c r="C247" s="79" t="s">
        <v>371</v>
      </c>
      <c r="D247" s="80">
        <v>11.5</v>
      </c>
      <c r="E247" s="80">
        <v>11.5</v>
      </c>
      <c r="F247" s="80">
        <v>12.5</v>
      </c>
      <c r="G247" s="80">
        <v>12.5</v>
      </c>
      <c r="H247" s="80">
        <v>12.5</v>
      </c>
      <c r="I247" s="80">
        <v>12.5</v>
      </c>
      <c r="J247" s="80">
        <v>12.5</v>
      </c>
      <c r="K247" s="80">
        <v>12.5</v>
      </c>
    </row>
    <row r="248" spans="1:11" ht="15.6" x14ac:dyDescent="0.3">
      <c r="A248" s="114" t="s">
        <v>372</v>
      </c>
      <c r="B248" s="123"/>
      <c r="C248" s="79" t="s">
        <v>373</v>
      </c>
      <c r="D248" s="80">
        <v>67</v>
      </c>
      <c r="E248" s="80">
        <v>68</v>
      </c>
      <c r="F248" s="80">
        <v>77</v>
      </c>
      <c r="G248" s="80">
        <v>87</v>
      </c>
      <c r="H248" s="80">
        <v>87</v>
      </c>
      <c r="I248" s="80">
        <v>87</v>
      </c>
      <c r="J248" s="80">
        <v>87</v>
      </c>
      <c r="K248" s="80">
        <v>87</v>
      </c>
    </row>
    <row r="249" spans="1:11" ht="15.6" x14ac:dyDescent="0.3">
      <c r="A249" s="109" t="s">
        <v>374</v>
      </c>
      <c r="B249" s="109"/>
      <c r="C249" s="71">
        <v>70</v>
      </c>
      <c r="D249" s="59">
        <f>SUM(D250:D252)</f>
        <v>4860</v>
      </c>
      <c r="E249" s="59">
        <f t="shared" ref="E249:K249" si="62">SUM(E250:E252)</f>
        <v>5505.5</v>
      </c>
      <c r="F249" s="59">
        <f t="shared" si="62"/>
        <v>7019.5300000000007</v>
      </c>
      <c r="G249" s="59">
        <f>SUM(G250:G252)</f>
        <v>12633.55</v>
      </c>
      <c r="H249" s="59">
        <f t="shared" si="62"/>
        <v>3158.25</v>
      </c>
      <c r="I249" s="59">
        <f t="shared" si="62"/>
        <v>3158.25</v>
      </c>
      <c r="J249" s="59">
        <f t="shared" si="62"/>
        <v>3158.7</v>
      </c>
      <c r="K249" s="59">
        <f t="shared" si="62"/>
        <v>3158.35</v>
      </c>
    </row>
    <row r="250" spans="1:11" ht="15.6" x14ac:dyDescent="0.3">
      <c r="A250" s="114" t="s">
        <v>368</v>
      </c>
      <c r="B250" s="123"/>
      <c r="C250" s="79" t="s">
        <v>375</v>
      </c>
      <c r="D250" s="52">
        <v>226</v>
      </c>
      <c r="E250" s="52">
        <v>245.6</v>
      </c>
      <c r="F250" s="52">
        <v>280.38</v>
      </c>
      <c r="G250" s="52">
        <f>H250+I250+J250+K250</f>
        <v>358.8</v>
      </c>
      <c r="H250" s="52">
        <v>89.7</v>
      </c>
      <c r="I250" s="52">
        <v>89.7</v>
      </c>
      <c r="J250" s="52">
        <v>89.7</v>
      </c>
      <c r="K250" s="52">
        <v>89.7</v>
      </c>
    </row>
    <row r="251" spans="1:11" ht="15.6" x14ac:dyDescent="0.3">
      <c r="A251" s="114" t="s">
        <v>370</v>
      </c>
      <c r="B251" s="123"/>
      <c r="C251" s="79" t="s">
        <v>376</v>
      </c>
      <c r="D251" s="52">
        <f>1278.5-200</f>
        <v>1078.5</v>
      </c>
      <c r="E251" s="52">
        <f>1448.5-200-100</f>
        <v>1148.5</v>
      </c>
      <c r="F251" s="52">
        <f>1453.31-100-100</f>
        <v>1253.31</v>
      </c>
      <c r="G251" s="52">
        <f t="shared" ref="G251:G252" si="63">H251+I251+J251+K251</f>
        <v>1943.1999999999998</v>
      </c>
      <c r="H251" s="52">
        <f>585.8-50-50</f>
        <v>485.79999999999995</v>
      </c>
      <c r="I251" s="52">
        <f t="shared" ref="I251:K251" si="64">585.8-50-50</f>
        <v>485.79999999999995</v>
      </c>
      <c r="J251" s="52">
        <f>585.8-50-50</f>
        <v>485.79999999999995</v>
      </c>
      <c r="K251" s="52">
        <f t="shared" si="64"/>
        <v>485.79999999999995</v>
      </c>
    </row>
    <row r="252" spans="1:11" ht="15.6" x14ac:dyDescent="0.3">
      <c r="A252" s="114" t="s">
        <v>372</v>
      </c>
      <c r="B252" s="123"/>
      <c r="C252" s="79" t="s">
        <v>377</v>
      </c>
      <c r="D252" s="52">
        <f>3355.5+200</f>
        <v>3555.5</v>
      </c>
      <c r="E252" s="52">
        <f>3811.4+200+100</f>
        <v>4111.3999999999996</v>
      </c>
      <c r="F252" s="52">
        <f>5285.84+100+100</f>
        <v>5485.84</v>
      </c>
      <c r="G252" s="52">
        <f t="shared" si="63"/>
        <v>10331.549999999999</v>
      </c>
      <c r="H252" s="52">
        <f>2203.7+279.05+50+50</f>
        <v>2582.75</v>
      </c>
      <c r="I252" s="52">
        <f t="shared" ref="I252" si="65">2203.7+279.05+50+50</f>
        <v>2582.75</v>
      </c>
      <c r="J252" s="52">
        <f>2203.7+279.05+50+50+0.45</f>
        <v>2583.1999999999998</v>
      </c>
      <c r="K252" s="52">
        <f>2203.7+279.05+50+50+0.1</f>
        <v>2582.85</v>
      </c>
    </row>
    <row r="253" spans="1:11" ht="15.6" x14ac:dyDescent="0.3">
      <c r="A253" s="109" t="s">
        <v>378</v>
      </c>
      <c r="B253" s="109"/>
      <c r="C253" s="71">
        <v>71</v>
      </c>
      <c r="D253" s="59">
        <f>SUM(D254:D256)</f>
        <v>4860</v>
      </c>
      <c r="E253" s="59">
        <f t="shared" ref="E253:K253" si="66">SUM(E254:E256)</f>
        <v>5505.5</v>
      </c>
      <c r="F253" s="59">
        <f t="shared" si="66"/>
        <v>7019.5300000000007</v>
      </c>
      <c r="G253" s="59">
        <f t="shared" si="66"/>
        <v>12633.55</v>
      </c>
      <c r="H253" s="59">
        <f t="shared" si="66"/>
        <v>3158.25</v>
      </c>
      <c r="I253" s="59">
        <f t="shared" si="66"/>
        <v>3158.25</v>
      </c>
      <c r="J253" s="59">
        <f t="shared" si="66"/>
        <v>3158.7</v>
      </c>
      <c r="K253" s="59">
        <f t="shared" si="66"/>
        <v>3158.35</v>
      </c>
    </row>
    <row r="254" spans="1:11" ht="15.6" x14ac:dyDescent="0.3">
      <c r="A254" s="114" t="s">
        <v>368</v>
      </c>
      <c r="B254" s="123"/>
      <c r="C254" s="79" t="s">
        <v>379</v>
      </c>
      <c r="D254" s="52">
        <f>D250</f>
        <v>226</v>
      </c>
      <c r="E254" s="52">
        <v>245.6</v>
      </c>
      <c r="F254" s="52">
        <f>F250</f>
        <v>280.38</v>
      </c>
      <c r="G254" s="52">
        <f>H254+I254+J254+K254</f>
        <v>358.8</v>
      </c>
      <c r="H254" s="52">
        <v>89.7</v>
      </c>
      <c r="I254" s="52">
        <v>89.7</v>
      </c>
      <c r="J254" s="52">
        <v>89.7</v>
      </c>
      <c r="K254" s="52">
        <v>89.7</v>
      </c>
    </row>
    <row r="255" spans="1:11" ht="15.6" x14ac:dyDescent="0.3">
      <c r="A255" s="114" t="s">
        <v>370</v>
      </c>
      <c r="B255" s="123"/>
      <c r="C255" s="79" t="s">
        <v>380</v>
      </c>
      <c r="D255" s="52">
        <f>D251</f>
        <v>1078.5</v>
      </c>
      <c r="E255" s="52">
        <f>E251</f>
        <v>1148.5</v>
      </c>
      <c r="F255" s="52">
        <f>F251</f>
        <v>1253.31</v>
      </c>
      <c r="G255" s="52">
        <f t="shared" ref="G255:G256" si="67">H255+I255+J255+K255</f>
        <v>1943.1999999999998</v>
      </c>
      <c r="H255" s="52">
        <f>H251</f>
        <v>485.79999999999995</v>
      </c>
      <c r="I255" s="52">
        <f>I251</f>
        <v>485.79999999999995</v>
      </c>
      <c r="J255" s="52">
        <f>J251</f>
        <v>485.79999999999995</v>
      </c>
      <c r="K255" s="52">
        <f>K251</f>
        <v>485.79999999999995</v>
      </c>
    </row>
    <row r="256" spans="1:11" ht="15.6" x14ac:dyDescent="0.3">
      <c r="A256" s="114" t="s">
        <v>372</v>
      </c>
      <c r="B256" s="123"/>
      <c r="C256" s="79" t="s">
        <v>381</v>
      </c>
      <c r="D256" s="52">
        <f>D252</f>
        <v>3555.5</v>
      </c>
      <c r="E256" s="52">
        <f>E252</f>
        <v>4111.3999999999996</v>
      </c>
      <c r="F256" s="52">
        <f>F252</f>
        <v>5485.84</v>
      </c>
      <c r="G256" s="52">
        <f t="shared" si="67"/>
        <v>10331.549999999999</v>
      </c>
      <c r="H256" s="52">
        <f>H252</f>
        <v>2582.75</v>
      </c>
      <c r="I256" s="52">
        <f t="shared" ref="I256:K256" si="68">I252</f>
        <v>2582.75</v>
      </c>
      <c r="J256" s="52">
        <f t="shared" si="68"/>
        <v>2583.1999999999998</v>
      </c>
      <c r="K256" s="52">
        <f t="shared" si="68"/>
        <v>2582.85</v>
      </c>
    </row>
    <row r="257" spans="1:11" ht="39" customHeight="1" x14ac:dyDescent="0.3">
      <c r="A257" s="109" t="s">
        <v>382</v>
      </c>
      <c r="B257" s="124"/>
      <c r="C257" s="71">
        <v>72</v>
      </c>
      <c r="D257" s="59">
        <f>SUM(D258:D260)</f>
        <v>31.070814406229719</v>
      </c>
      <c r="E257" s="59">
        <f t="shared" ref="E257:K257" si="69">SUM(E258:E260)</f>
        <v>33.82761082693947</v>
      </c>
      <c r="F257" s="59">
        <f t="shared" si="69"/>
        <v>37.657456277056276</v>
      </c>
      <c r="G257" s="59">
        <f t="shared" si="69"/>
        <v>211.00314942528735</v>
      </c>
      <c r="H257" s="59">
        <f t="shared" si="69"/>
        <v>52.750260536398471</v>
      </c>
      <c r="I257" s="59">
        <f t="shared" si="69"/>
        <v>52.750260536398471</v>
      </c>
      <c r="J257" s="59">
        <f t="shared" si="69"/>
        <v>52.751984674329499</v>
      </c>
      <c r="K257" s="59">
        <f t="shared" si="69"/>
        <v>52.75064367816092</v>
      </c>
    </row>
    <row r="258" spans="1:11" ht="15.6" x14ac:dyDescent="0.3">
      <c r="A258" s="114" t="s">
        <v>368</v>
      </c>
      <c r="B258" s="123"/>
      <c r="C258" s="79" t="s">
        <v>383</v>
      </c>
      <c r="D258" s="52">
        <f>(D254/D246)/12</f>
        <v>18.833333333333332</v>
      </c>
      <c r="E258" s="52">
        <f t="shared" ref="E258" si="70">(E254/E246)/12</f>
        <v>20.466666666666665</v>
      </c>
      <c r="F258" s="52">
        <f>(F254/F246)/12</f>
        <v>23.364999999999998</v>
      </c>
      <c r="G258" s="52">
        <f>H258+I258+J258+K258</f>
        <v>119.60000000000001</v>
      </c>
      <c r="H258" s="52">
        <f>(H254/G246)/3</f>
        <v>29.900000000000002</v>
      </c>
      <c r="I258" s="52">
        <f t="shared" ref="I258:K258" si="71">(I254/H246)/3</f>
        <v>29.900000000000002</v>
      </c>
      <c r="J258" s="52">
        <f t="shared" si="71"/>
        <v>29.900000000000002</v>
      </c>
      <c r="K258" s="52">
        <f t="shared" si="71"/>
        <v>29.900000000000002</v>
      </c>
    </row>
    <row r="259" spans="1:11" ht="15.6" x14ac:dyDescent="0.3">
      <c r="A259" s="114" t="s">
        <v>370</v>
      </c>
      <c r="B259" s="123"/>
      <c r="C259" s="79" t="s">
        <v>384</v>
      </c>
      <c r="D259" s="52">
        <f t="shared" ref="D259:F260" si="72">(D255/D247)/12</f>
        <v>7.8152173913043477</v>
      </c>
      <c r="E259" s="52">
        <f t="shared" si="72"/>
        <v>8.3224637681159415</v>
      </c>
      <c r="F259" s="52">
        <f t="shared" si="72"/>
        <v>8.3553999999999995</v>
      </c>
      <c r="G259" s="52">
        <f t="shared" ref="G259:G260" si="73">H259+I259+J259+K259</f>
        <v>51.818666666666665</v>
      </c>
      <c r="H259" s="52">
        <f>(H255/G247)/3</f>
        <v>12.954666666666666</v>
      </c>
      <c r="I259" s="52">
        <f t="shared" ref="H259:K260" si="74">(I255/H247)/3</f>
        <v>12.954666666666666</v>
      </c>
      <c r="J259" s="52">
        <f t="shared" si="74"/>
        <v>12.954666666666666</v>
      </c>
      <c r="K259" s="52">
        <f t="shared" si="74"/>
        <v>12.954666666666666</v>
      </c>
    </row>
    <row r="260" spans="1:11" ht="15.6" x14ac:dyDescent="0.3">
      <c r="A260" s="114" t="s">
        <v>372</v>
      </c>
      <c r="B260" s="123"/>
      <c r="C260" s="79" t="s">
        <v>385</v>
      </c>
      <c r="D260" s="52">
        <f t="shared" si="72"/>
        <v>4.4222636815920398</v>
      </c>
      <c r="E260" s="52">
        <f t="shared" si="72"/>
        <v>5.0384803921568624</v>
      </c>
      <c r="F260" s="52">
        <f>(F256/F248)/12</f>
        <v>5.9370562770562776</v>
      </c>
      <c r="G260" s="52">
        <f t="shared" si="73"/>
        <v>39.584482758620688</v>
      </c>
      <c r="H260" s="52">
        <f t="shared" si="74"/>
        <v>9.8955938697318011</v>
      </c>
      <c r="I260" s="52">
        <f t="shared" si="74"/>
        <v>9.8955938697318011</v>
      </c>
      <c r="J260" s="52">
        <f t="shared" si="74"/>
        <v>9.8973180076628342</v>
      </c>
      <c r="K260" s="52">
        <f t="shared" si="74"/>
        <v>9.8959770114942529</v>
      </c>
    </row>
    <row r="261" spans="1:11" ht="15.6" x14ac:dyDescent="0.3">
      <c r="A261" s="109" t="s">
        <v>386</v>
      </c>
      <c r="B261" s="124"/>
      <c r="C261" s="71">
        <v>73</v>
      </c>
      <c r="D261" s="59">
        <f>SUM(D262:D264)</f>
        <v>0</v>
      </c>
      <c r="E261" s="59">
        <f t="shared" ref="E261:K261" si="75">SUM(E262:E264)</f>
        <v>0</v>
      </c>
      <c r="F261" s="59">
        <f t="shared" si="75"/>
        <v>0</v>
      </c>
      <c r="G261" s="59">
        <f t="shared" si="75"/>
        <v>0</v>
      </c>
      <c r="H261" s="59">
        <f t="shared" si="75"/>
        <v>0</v>
      </c>
      <c r="I261" s="59">
        <f t="shared" si="75"/>
        <v>0</v>
      </c>
      <c r="J261" s="59">
        <f t="shared" si="75"/>
        <v>0</v>
      </c>
      <c r="K261" s="59">
        <f t="shared" si="75"/>
        <v>0</v>
      </c>
    </row>
    <row r="262" spans="1:11" ht="15.6" x14ac:dyDescent="0.3">
      <c r="A262" s="114" t="s">
        <v>368</v>
      </c>
      <c r="B262" s="123"/>
      <c r="C262" s="79" t="s">
        <v>387</v>
      </c>
      <c r="D262" s="52"/>
      <c r="E262" s="52"/>
      <c r="F262" s="52"/>
      <c r="G262" s="52"/>
      <c r="H262" s="52"/>
      <c r="I262" s="52"/>
      <c r="J262" s="52"/>
      <c r="K262" s="52"/>
    </row>
    <row r="263" spans="1:11" ht="15.6" x14ac:dyDescent="0.3">
      <c r="A263" s="114" t="s">
        <v>370</v>
      </c>
      <c r="B263" s="123"/>
      <c r="C263" s="79" t="s">
        <v>388</v>
      </c>
      <c r="D263" s="52"/>
      <c r="E263" s="52"/>
      <c r="F263" s="52"/>
      <c r="G263" s="52"/>
      <c r="H263" s="52"/>
      <c r="I263" s="52"/>
      <c r="J263" s="52"/>
      <c r="K263" s="52"/>
    </row>
    <row r="264" spans="1:11" ht="15.6" x14ac:dyDescent="0.3">
      <c r="A264" s="114" t="s">
        <v>372</v>
      </c>
      <c r="B264" s="123"/>
      <c r="C264" s="79" t="s">
        <v>389</v>
      </c>
      <c r="D264" s="52"/>
      <c r="E264" s="52"/>
      <c r="F264" s="52"/>
      <c r="G264" s="52"/>
      <c r="H264" s="52"/>
      <c r="I264" s="52"/>
      <c r="J264" s="52"/>
      <c r="K264" s="52"/>
    </row>
    <row r="265" spans="1:11" ht="15.6" hidden="1" x14ac:dyDescent="0.3">
      <c r="A265" s="50"/>
      <c r="B265" s="50"/>
      <c r="C265" s="72"/>
      <c r="D265" s="73"/>
      <c r="E265" s="73"/>
      <c r="F265" s="73"/>
      <c r="G265" s="73"/>
      <c r="H265" s="73"/>
      <c r="I265" s="73"/>
      <c r="J265" s="73"/>
      <c r="K265" s="73"/>
    </row>
    <row r="267" spans="1:11" s="46" customFormat="1" ht="15.6" x14ac:dyDescent="0.3">
      <c r="A267" s="46" t="s">
        <v>427</v>
      </c>
      <c r="C267" s="74" t="s">
        <v>391</v>
      </c>
      <c r="F267" s="74" t="s">
        <v>428</v>
      </c>
    </row>
    <row r="268" spans="1:11" s="46" customFormat="1" ht="15.6" x14ac:dyDescent="0.3">
      <c r="A268" s="74" t="s">
        <v>392</v>
      </c>
      <c r="C268" s="74" t="s">
        <v>393</v>
      </c>
      <c r="F268" s="74" t="s">
        <v>394</v>
      </c>
    </row>
    <row r="269" spans="1:11" s="46" customFormat="1" ht="15.6" x14ac:dyDescent="0.3">
      <c r="A269" s="74"/>
      <c r="C269" s="74"/>
      <c r="F269" s="74"/>
    </row>
    <row r="270" spans="1:11" s="46" customFormat="1" ht="15.6" x14ac:dyDescent="0.3">
      <c r="A270" s="74"/>
      <c r="C270" s="74"/>
      <c r="F270" s="74"/>
    </row>
    <row r="271" spans="1:11" s="75" customFormat="1" ht="17.399999999999999" x14ac:dyDescent="0.3">
      <c r="A271" s="75" t="s">
        <v>404</v>
      </c>
      <c r="H271" s="75" t="s">
        <v>405</v>
      </c>
    </row>
  </sheetData>
  <mergeCells count="270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6:B176"/>
    <mergeCell ref="A177:B177"/>
    <mergeCell ref="A178:B178"/>
    <mergeCell ref="A179:B179"/>
    <mergeCell ref="A180:B180"/>
    <mergeCell ref="A181:B181"/>
    <mergeCell ref="A169:B169"/>
    <mergeCell ref="A170:B170"/>
    <mergeCell ref="A171:B171"/>
    <mergeCell ref="A173:B173"/>
    <mergeCell ref="A174:B174"/>
    <mergeCell ref="A175:B175"/>
    <mergeCell ref="A172:B172"/>
    <mergeCell ref="A188:B188"/>
    <mergeCell ref="A189:B189"/>
    <mergeCell ref="A190:B190"/>
    <mergeCell ref="A191:K191"/>
    <mergeCell ref="A192:B192"/>
    <mergeCell ref="A193:B193"/>
    <mergeCell ref="A182:K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B204"/>
    <mergeCell ref="A205:K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B219"/>
    <mergeCell ref="A220:K220"/>
    <mergeCell ref="A221:B221"/>
    <mergeCell ref="A222:B222"/>
    <mergeCell ref="A223:B223"/>
    <mergeCell ref="A236:B236"/>
    <mergeCell ref="A237:B237"/>
    <mergeCell ref="A238:B238"/>
    <mergeCell ref="A239:K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B243"/>
    <mergeCell ref="A244:K244"/>
    <mergeCell ref="A245:B245"/>
    <mergeCell ref="A246:B246"/>
    <mergeCell ref="A247:B247"/>
    <mergeCell ref="A260:B260"/>
    <mergeCell ref="A261:B261"/>
    <mergeCell ref="A262:B262"/>
    <mergeCell ref="A263:B263"/>
    <mergeCell ref="A264:B264"/>
    <mergeCell ref="A254:B254"/>
    <mergeCell ref="A255:B255"/>
    <mergeCell ref="A256:B256"/>
    <mergeCell ref="A257:B257"/>
    <mergeCell ref="A258:B258"/>
    <mergeCell ref="A259:B259"/>
  </mergeCells>
  <pageMargins left="1.1811023622047245" right="0.39370078740157483" top="0.78740157480314965" bottom="0.78740157480314965" header="0.31496062992125984" footer="0.31496062992125984"/>
  <pageSetup paperSize="9" scale="7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70"/>
  <sheetViews>
    <sheetView topLeftCell="A252" workbookViewId="0">
      <selection activeCell="J271" sqref="J271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1.109375" customWidth="1"/>
    <col min="5" max="5" width="11.5546875" customWidth="1"/>
    <col min="6" max="6" width="9.33203125" bestFit="1" customWidth="1"/>
    <col min="7" max="7" width="11.44140625" customWidth="1"/>
  </cols>
  <sheetData>
    <row r="1" spans="1:7" ht="15.6" x14ac:dyDescent="0.3">
      <c r="C1" s="38"/>
      <c r="D1" s="38"/>
      <c r="E1" s="38"/>
      <c r="F1" s="38"/>
      <c r="G1" s="27" t="s">
        <v>395</v>
      </c>
    </row>
    <row r="2" spans="1:7" ht="15.6" x14ac:dyDescent="0.3">
      <c r="C2" s="102" t="s">
        <v>1</v>
      </c>
      <c r="D2" s="102"/>
      <c r="E2" s="102"/>
      <c r="F2" s="102"/>
      <c r="G2" s="102"/>
    </row>
    <row r="3" spans="1:7" ht="15.6" x14ac:dyDescent="0.3">
      <c r="C3" s="102" t="s">
        <v>2</v>
      </c>
      <c r="D3" s="102"/>
      <c r="E3" s="102"/>
      <c r="F3" s="102"/>
      <c r="G3" s="102"/>
    </row>
    <row r="4" spans="1:7" ht="18" x14ac:dyDescent="0.3">
      <c r="B4" s="29"/>
      <c r="C4" s="104" t="s">
        <v>3</v>
      </c>
      <c r="D4" s="104"/>
      <c r="E4" s="104"/>
      <c r="F4" s="104"/>
      <c r="G4" s="104"/>
    </row>
    <row r="5" spans="1:7" ht="18" x14ac:dyDescent="0.3">
      <c r="B5" s="1"/>
      <c r="C5" s="39"/>
      <c r="D5" s="39"/>
      <c r="E5" s="39"/>
      <c r="F5" s="26"/>
      <c r="G5" s="26"/>
    </row>
    <row r="6" spans="1:7" ht="18" x14ac:dyDescent="0.3">
      <c r="B6" s="1"/>
      <c r="C6" s="30" t="s">
        <v>4</v>
      </c>
      <c r="D6" s="28"/>
      <c r="E6" s="28"/>
      <c r="F6" s="30"/>
      <c r="G6" s="30"/>
    </row>
    <row r="7" spans="1:7" ht="18" x14ac:dyDescent="0.3">
      <c r="B7" s="1"/>
      <c r="C7" s="98" t="s">
        <v>5</v>
      </c>
      <c r="D7" s="98"/>
      <c r="E7" s="98"/>
      <c r="F7" s="98"/>
      <c r="G7" s="98"/>
    </row>
    <row r="8" spans="1:7" ht="18" x14ac:dyDescent="0.3">
      <c r="B8" s="1"/>
      <c r="C8" s="28"/>
      <c r="D8" s="28"/>
      <c r="E8" s="28"/>
      <c r="F8" s="26"/>
      <c r="G8" s="26"/>
    </row>
    <row r="9" spans="1:7" ht="18" x14ac:dyDescent="0.3">
      <c r="B9" s="1"/>
    </row>
    <row r="10" spans="1:7" ht="18" x14ac:dyDescent="0.3">
      <c r="B10" s="1"/>
      <c r="C10" s="1"/>
      <c r="D10" s="1"/>
      <c r="E10" s="1"/>
      <c r="F10" s="2"/>
      <c r="G10" s="2"/>
    </row>
    <row r="11" spans="1:7" ht="18" x14ac:dyDescent="0.3">
      <c r="A11" s="3" t="s">
        <v>7</v>
      </c>
      <c r="B11" s="141"/>
      <c r="C11" s="141"/>
      <c r="D11" s="4" t="s">
        <v>8</v>
      </c>
      <c r="E11" s="141"/>
      <c r="F11" s="141"/>
      <c r="G11" s="141"/>
    </row>
    <row r="12" spans="1:7" ht="18" x14ac:dyDescent="0.3">
      <c r="A12" s="3" t="s">
        <v>9</v>
      </c>
      <c r="B12" s="141"/>
      <c r="C12" s="141"/>
      <c r="D12" s="4" t="s">
        <v>10</v>
      </c>
      <c r="E12" s="141"/>
      <c r="F12" s="141"/>
      <c r="G12" s="141"/>
    </row>
    <row r="13" spans="1:7" ht="31.2" x14ac:dyDescent="0.3">
      <c r="A13" s="3" t="s">
        <v>11</v>
      </c>
      <c r="B13" s="141"/>
      <c r="C13" s="141"/>
      <c r="D13" s="4" t="s">
        <v>12</v>
      </c>
      <c r="E13" s="141"/>
      <c r="F13" s="141"/>
      <c r="G13" s="141"/>
    </row>
    <row r="14" spans="1:7" ht="18" x14ac:dyDescent="0.3">
      <c r="A14" s="3" t="s">
        <v>13</v>
      </c>
      <c r="B14" s="141"/>
      <c r="C14" s="141"/>
      <c r="D14" s="4" t="s">
        <v>14</v>
      </c>
      <c r="E14" s="141"/>
      <c r="F14" s="141"/>
      <c r="G14" s="141"/>
    </row>
    <row r="15" spans="1:7" ht="31.2" x14ac:dyDescent="0.3">
      <c r="A15" s="3" t="s">
        <v>15</v>
      </c>
      <c r="B15" s="141"/>
      <c r="C15" s="141"/>
      <c r="D15" s="31"/>
      <c r="E15" s="31"/>
      <c r="F15" s="31"/>
      <c r="G15" s="31"/>
    </row>
    <row r="16" spans="1:7" ht="31.2" x14ac:dyDescent="0.3">
      <c r="A16" s="3" t="s">
        <v>16</v>
      </c>
      <c r="B16" s="141"/>
      <c r="C16" s="141"/>
      <c r="D16" s="31"/>
      <c r="E16" s="31"/>
      <c r="F16" s="31"/>
      <c r="G16" s="31"/>
    </row>
    <row r="17" spans="1:7" ht="31.2" x14ac:dyDescent="0.3">
      <c r="A17" s="3" t="s">
        <v>17</v>
      </c>
      <c r="B17" s="141"/>
      <c r="C17" s="141"/>
      <c r="D17" s="31"/>
      <c r="E17" s="31"/>
      <c r="F17" s="31"/>
      <c r="G17" s="31"/>
    </row>
    <row r="18" spans="1:7" ht="18" x14ac:dyDescent="0.3">
      <c r="A18" s="3" t="s">
        <v>18</v>
      </c>
      <c r="B18" s="141"/>
      <c r="C18" s="141"/>
      <c r="D18" s="31"/>
      <c r="E18" s="31"/>
      <c r="F18" s="31"/>
      <c r="G18" s="31"/>
    </row>
    <row r="19" spans="1:7" x14ac:dyDescent="0.3">
      <c r="A19" s="31"/>
      <c r="B19" s="142"/>
      <c r="C19" s="142"/>
      <c r="D19" s="142"/>
      <c r="E19" s="142"/>
      <c r="F19" s="142"/>
      <c r="G19" s="142"/>
    </row>
    <row r="20" spans="1:7" x14ac:dyDescent="0.3">
      <c r="A20" s="137" t="s">
        <v>396</v>
      </c>
      <c r="B20" s="137"/>
      <c r="C20" s="137"/>
      <c r="D20" s="137"/>
      <c r="E20" s="137"/>
      <c r="F20" s="137"/>
      <c r="G20" s="137"/>
    </row>
    <row r="21" spans="1:7" x14ac:dyDescent="0.3">
      <c r="A21" s="137" t="s">
        <v>397</v>
      </c>
      <c r="B21" s="137"/>
      <c r="C21" s="137"/>
      <c r="D21" s="137"/>
      <c r="E21" s="137"/>
      <c r="F21" s="137"/>
      <c r="G21" s="137"/>
    </row>
    <row r="22" spans="1:7" ht="15.6" x14ac:dyDescent="0.3">
      <c r="A22" s="138" t="s">
        <v>20</v>
      </c>
      <c r="B22" s="138"/>
      <c r="C22" s="138"/>
      <c r="D22" s="138"/>
      <c r="E22" s="138"/>
      <c r="F22" s="138"/>
      <c r="G22" s="138"/>
    </row>
    <row r="23" spans="1:7" x14ac:dyDescent="0.3">
      <c r="A23" s="139"/>
      <c r="B23" s="139"/>
      <c r="C23" s="139"/>
      <c r="D23" s="139"/>
      <c r="E23" s="139"/>
      <c r="F23" s="139"/>
      <c r="G23" s="139"/>
    </row>
    <row r="24" spans="1:7" x14ac:dyDescent="0.3">
      <c r="A24" s="140"/>
      <c r="B24" s="140"/>
      <c r="C24" s="140" t="s">
        <v>21</v>
      </c>
      <c r="D24" s="140" t="s">
        <v>398</v>
      </c>
      <c r="E24" s="140" t="s">
        <v>399</v>
      </c>
      <c r="F24" s="140" t="s">
        <v>400</v>
      </c>
      <c r="G24" s="140" t="s">
        <v>401</v>
      </c>
    </row>
    <row r="25" spans="1:7" x14ac:dyDescent="0.3">
      <c r="A25" s="140"/>
      <c r="B25" s="140"/>
      <c r="C25" s="140"/>
      <c r="D25" s="140"/>
      <c r="E25" s="140"/>
      <c r="F25" s="140"/>
      <c r="G25" s="140"/>
    </row>
    <row r="26" spans="1:7" ht="15.6" x14ac:dyDescent="0.3">
      <c r="A26" s="130" t="s">
        <v>23</v>
      </c>
      <c r="B26" s="130"/>
      <c r="C26" s="130"/>
      <c r="D26" s="130"/>
      <c r="E26" s="130"/>
      <c r="F26" s="130"/>
      <c r="G26" s="130"/>
    </row>
    <row r="27" spans="1:7" ht="15.6" x14ac:dyDescent="0.3">
      <c r="A27" s="125" t="s">
        <v>24</v>
      </c>
      <c r="B27" s="125"/>
      <c r="C27" s="23">
        <v>1</v>
      </c>
      <c r="D27" s="22"/>
      <c r="E27" s="22"/>
      <c r="F27" s="23">
        <f>D27-E27</f>
        <v>0</v>
      </c>
      <c r="G27" s="32" t="e">
        <f>D27/E27-1</f>
        <v>#DIV/0!</v>
      </c>
    </row>
    <row r="28" spans="1:7" ht="15.6" x14ac:dyDescent="0.3">
      <c r="A28" s="127" t="s">
        <v>25</v>
      </c>
      <c r="B28" s="127"/>
      <c r="C28" s="22">
        <v>2</v>
      </c>
      <c r="D28" s="22"/>
      <c r="E28" s="22"/>
      <c r="F28" s="22">
        <f t="shared" ref="F28:F91" si="0">D28-E28</f>
        <v>0</v>
      </c>
      <c r="G28" s="33" t="e">
        <f t="shared" ref="G28:G91" si="1">D28/E28-1</f>
        <v>#DIV/0!</v>
      </c>
    </row>
    <row r="29" spans="1:7" ht="15.6" x14ac:dyDescent="0.3">
      <c r="A29" s="127" t="s">
        <v>26</v>
      </c>
      <c r="B29" s="127"/>
      <c r="C29" s="22">
        <v>3</v>
      </c>
      <c r="D29" s="22"/>
      <c r="E29" s="22"/>
      <c r="F29" s="22">
        <f t="shared" si="0"/>
        <v>0</v>
      </c>
      <c r="G29" s="33" t="e">
        <f t="shared" si="1"/>
        <v>#DIV/0!</v>
      </c>
    </row>
    <row r="30" spans="1:7" ht="15.6" x14ac:dyDescent="0.3">
      <c r="A30" s="127" t="s">
        <v>27</v>
      </c>
      <c r="B30" s="127"/>
      <c r="C30" s="22">
        <v>4</v>
      </c>
      <c r="D30" s="22"/>
      <c r="E30" s="22"/>
      <c r="F30" s="22">
        <f t="shared" si="0"/>
        <v>0</v>
      </c>
      <c r="G30" s="33" t="e">
        <f t="shared" si="1"/>
        <v>#DIV/0!</v>
      </c>
    </row>
    <row r="31" spans="1:7" ht="15.6" x14ac:dyDescent="0.3">
      <c r="A31" s="125" t="s">
        <v>28</v>
      </c>
      <c r="B31" s="125"/>
      <c r="C31" s="23">
        <v>5</v>
      </c>
      <c r="D31" s="23">
        <f>D27-D28-D29-D30</f>
        <v>0</v>
      </c>
      <c r="E31" s="23">
        <f t="shared" ref="E31" si="2">E27-E28-E29-E30</f>
        <v>0</v>
      </c>
      <c r="F31" s="23">
        <f t="shared" si="0"/>
        <v>0</v>
      </c>
      <c r="G31" s="32" t="e">
        <f t="shared" si="1"/>
        <v>#DIV/0!</v>
      </c>
    </row>
    <row r="32" spans="1:7" ht="15.6" x14ac:dyDescent="0.3">
      <c r="A32" s="136"/>
      <c r="B32" s="136"/>
      <c r="C32" s="6" t="s">
        <v>29</v>
      </c>
      <c r="D32" s="22"/>
      <c r="E32" s="22"/>
      <c r="F32" s="22">
        <f t="shared" si="0"/>
        <v>0</v>
      </c>
      <c r="G32" s="33" t="e">
        <f t="shared" si="1"/>
        <v>#DIV/0!</v>
      </c>
    </row>
    <row r="33" spans="1:7" ht="15.6" x14ac:dyDescent="0.3">
      <c r="A33" s="136"/>
      <c r="B33" s="136"/>
      <c r="C33" s="6" t="s">
        <v>30</v>
      </c>
      <c r="D33" s="22"/>
      <c r="E33" s="22"/>
      <c r="F33" s="22">
        <f t="shared" si="0"/>
        <v>0</v>
      </c>
      <c r="G33" s="33" t="e">
        <f t="shared" si="1"/>
        <v>#DIV/0!</v>
      </c>
    </row>
    <row r="34" spans="1:7" ht="15.6" x14ac:dyDescent="0.3">
      <c r="A34" s="136"/>
      <c r="B34" s="136"/>
      <c r="C34" s="6" t="s">
        <v>31</v>
      </c>
      <c r="D34" s="22"/>
      <c r="E34" s="22"/>
      <c r="F34" s="22">
        <f t="shared" si="0"/>
        <v>0</v>
      </c>
      <c r="G34" s="33" t="e">
        <f t="shared" si="1"/>
        <v>#DIV/0!</v>
      </c>
    </row>
    <row r="35" spans="1:7" ht="15.6" x14ac:dyDescent="0.3">
      <c r="A35" s="136"/>
      <c r="B35" s="136"/>
      <c r="C35" s="6" t="s">
        <v>32</v>
      </c>
      <c r="D35" s="22"/>
      <c r="E35" s="22"/>
      <c r="F35" s="22">
        <f t="shared" si="0"/>
        <v>0</v>
      </c>
      <c r="G35" s="33" t="e">
        <f t="shared" si="1"/>
        <v>#DIV/0!</v>
      </c>
    </row>
    <row r="36" spans="1:7" ht="15.6" x14ac:dyDescent="0.3">
      <c r="A36" s="136"/>
      <c r="B36" s="136"/>
      <c r="C36" s="6" t="s">
        <v>33</v>
      </c>
      <c r="D36" s="22"/>
      <c r="E36" s="22"/>
      <c r="F36" s="22">
        <f t="shared" si="0"/>
        <v>0</v>
      </c>
      <c r="G36" s="33" t="e">
        <f t="shared" si="1"/>
        <v>#DIV/0!</v>
      </c>
    </row>
    <row r="37" spans="1:7" ht="15.6" x14ac:dyDescent="0.3">
      <c r="A37" s="125" t="s">
        <v>34</v>
      </c>
      <c r="B37" s="125"/>
      <c r="C37" s="23">
        <v>6</v>
      </c>
      <c r="D37" s="23">
        <f>SUM(D38:D46)</f>
        <v>0</v>
      </c>
      <c r="E37" s="23">
        <f t="shared" ref="E37" si="3">SUM(E38:E46)</f>
        <v>0</v>
      </c>
      <c r="F37" s="23">
        <f t="shared" si="0"/>
        <v>0</v>
      </c>
      <c r="G37" s="32" t="e">
        <f t="shared" si="1"/>
        <v>#DIV/0!</v>
      </c>
    </row>
    <row r="38" spans="1:7" ht="15.6" x14ac:dyDescent="0.3">
      <c r="A38" s="127" t="s">
        <v>35</v>
      </c>
      <c r="B38" s="127"/>
      <c r="C38" s="6" t="s">
        <v>36</v>
      </c>
      <c r="D38" s="22"/>
      <c r="E38" s="22"/>
      <c r="F38" s="22">
        <f t="shared" si="0"/>
        <v>0</v>
      </c>
      <c r="G38" s="33" t="e">
        <f t="shared" si="1"/>
        <v>#DIV/0!</v>
      </c>
    </row>
    <row r="39" spans="1:7" ht="15.6" x14ac:dyDescent="0.3">
      <c r="A39" s="127" t="s">
        <v>37</v>
      </c>
      <c r="B39" s="127"/>
      <c r="C39" s="6" t="s">
        <v>38</v>
      </c>
      <c r="D39" s="22"/>
      <c r="E39" s="22"/>
      <c r="F39" s="22">
        <f t="shared" si="0"/>
        <v>0</v>
      </c>
      <c r="G39" s="33" t="e">
        <f t="shared" si="1"/>
        <v>#DIV/0!</v>
      </c>
    </row>
    <row r="40" spans="1:7" ht="15.6" x14ac:dyDescent="0.3">
      <c r="A40" s="127" t="s">
        <v>39</v>
      </c>
      <c r="B40" s="127"/>
      <c r="C40" s="6" t="s">
        <v>40</v>
      </c>
      <c r="D40" s="22"/>
      <c r="E40" s="22"/>
      <c r="F40" s="22">
        <f t="shared" si="0"/>
        <v>0</v>
      </c>
      <c r="G40" s="33" t="e">
        <f t="shared" si="1"/>
        <v>#DIV/0!</v>
      </c>
    </row>
    <row r="41" spans="1:7" ht="15.6" x14ac:dyDescent="0.3">
      <c r="A41" s="127" t="s">
        <v>41</v>
      </c>
      <c r="B41" s="127"/>
      <c r="C41" s="6" t="s">
        <v>42</v>
      </c>
      <c r="D41" s="22"/>
      <c r="E41" s="22"/>
      <c r="F41" s="22">
        <f t="shared" si="0"/>
        <v>0</v>
      </c>
      <c r="G41" s="33" t="e">
        <f t="shared" si="1"/>
        <v>#DIV/0!</v>
      </c>
    </row>
    <row r="42" spans="1:7" ht="15.6" x14ac:dyDescent="0.3">
      <c r="A42" s="127" t="s">
        <v>43</v>
      </c>
      <c r="B42" s="127"/>
      <c r="C42" s="6" t="s">
        <v>44</v>
      </c>
      <c r="D42" s="22"/>
      <c r="E42" s="22"/>
      <c r="F42" s="22">
        <f t="shared" si="0"/>
        <v>0</v>
      </c>
      <c r="G42" s="33" t="e">
        <f t="shared" si="1"/>
        <v>#DIV/0!</v>
      </c>
    </row>
    <row r="43" spans="1:7" ht="15.6" x14ac:dyDescent="0.3">
      <c r="A43" s="127" t="s">
        <v>45</v>
      </c>
      <c r="B43" s="127"/>
      <c r="C43" s="6" t="s">
        <v>46</v>
      </c>
      <c r="D43" s="22"/>
      <c r="E43" s="22"/>
      <c r="F43" s="22">
        <f t="shared" si="0"/>
        <v>0</v>
      </c>
      <c r="G43" s="33" t="e">
        <f t="shared" si="1"/>
        <v>#DIV/0!</v>
      </c>
    </row>
    <row r="44" spans="1:7" ht="15.6" x14ac:dyDescent="0.3">
      <c r="A44" s="127" t="s">
        <v>47</v>
      </c>
      <c r="B44" s="127"/>
      <c r="C44" s="6" t="s">
        <v>48</v>
      </c>
      <c r="D44" s="22"/>
      <c r="E44" s="22"/>
      <c r="F44" s="22">
        <f t="shared" si="0"/>
        <v>0</v>
      </c>
      <c r="G44" s="33" t="e">
        <f t="shared" si="1"/>
        <v>#DIV/0!</v>
      </c>
    </row>
    <row r="45" spans="1:7" ht="15.6" x14ac:dyDescent="0.3">
      <c r="A45" s="127" t="s">
        <v>49</v>
      </c>
      <c r="B45" s="127"/>
      <c r="C45" s="6" t="s">
        <v>50</v>
      </c>
      <c r="D45" s="22"/>
      <c r="E45" s="22"/>
      <c r="F45" s="22">
        <f t="shared" si="0"/>
        <v>0</v>
      </c>
      <c r="G45" s="33" t="e">
        <f t="shared" si="1"/>
        <v>#DIV/0!</v>
      </c>
    </row>
    <row r="46" spans="1:7" ht="15.6" x14ac:dyDescent="0.3">
      <c r="A46" s="127" t="s">
        <v>51</v>
      </c>
      <c r="B46" s="127"/>
      <c r="C46" s="6" t="s">
        <v>52</v>
      </c>
      <c r="D46" s="22"/>
      <c r="E46" s="22"/>
      <c r="F46" s="22">
        <f t="shared" si="0"/>
        <v>0</v>
      </c>
      <c r="G46" s="33" t="e">
        <f t="shared" si="1"/>
        <v>#DIV/0!</v>
      </c>
    </row>
    <row r="47" spans="1:7" ht="15.6" x14ac:dyDescent="0.3">
      <c r="A47" s="125" t="s">
        <v>53</v>
      </c>
      <c r="B47" s="125"/>
      <c r="C47" s="23">
        <v>7</v>
      </c>
      <c r="D47" s="7">
        <f>D31-D37</f>
        <v>0</v>
      </c>
      <c r="E47" s="7">
        <f t="shared" ref="E47" si="4">E31-E37</f>
        <v>0</v>
      </c>
      <c r="F47" s="23">
        <f t="shared" si="0"/>
        <v>0</v>
      </c>
      <c r="G47" s="32" t="e">
        <f t="shared" si="1"/>
        <v>#DIV/0!</v>
      </c>
    </row>
    <row r="48" spans="1:7" ht="15.6" x14ac:dyDescent="0.3">
      <c r="A48" s="125" t="s">
        <v>54</v>
      </c>
      <c r="B48" s="125"/>
      <c r="C48" s="23">
        <v>8</v>
      </c>
      <c r="D48" s="23">
        <f>SUM(D50:D78)</f>
        <v>0</v>
      </c>
      <c r="E48" s="23">
        <f t="shared" ref="E48" si="5">SUM(E50:E78)</f>
        <v>0</v>
      </c>
      <c r="F48" s="23">
        <f t="shared" si="0"/>
        <v>0</v>
      </c>
      <c r="G48" s="32" t="e">
        <f t="shared" si="1"/>
        <v>#DIV/0!</v>
      </c>
    </row>
    <row r="49" spans="1:7" ht="15.6" x14ac:dyDescent="0.3">
      <c r="A49" s="127" t="s">
        <v>55</v>
      </c>
      <c r="B49" s="127"/>
      <c r="C49" s="22"/>
      <c r="D49" s="22"/>
      <c r="E49" s="22"/>
      <c r="F49" s="22">
        <f t="shared" si="0"/>
        <v>0</v>
      </c>
      <c r="G49" s="33" t="e">
        <f t="shared" si="1"/>
        <v>#DIV/0!</v>
      </c>
    </row>
    <row r="50" spans="1:7" ht="15.6" x14ac:dyDescent="0.3">
      <c r="A50" s="127" t="s">
        <v>56</v>
      </c>
      <c r="B50" s="127"/>
      <c r="C50" s="6" t="s">
        <v>57</v>
      </c>
      <c r="D50" s="22"/>
      <c r="E50" s="22"/>
      <c r="F50" s="22">
        <f t="shared" si="0"/>
        <v>0</v>
      </c>
      <c r="G50" s="33" t="e">
        <f t="shared" si="1"/>
        <v>#DIV/0!</v>
      </c>
    </row>
    <row r="51" spans="1:7" ht="15.6" x14ac:dyDescent="0.3">
      <c r="A51" s="127" t="s">
        <v>58</v>
      </c>
      <c r="B51" s="127"/>
      <c r="C51" s="6" t="s">
        <v>59</v>
      </c>
      <c r="D51" s="22"/>
      <c r="E51" s="22"/>
      <c r="F51" s="22">
        <f t="shared" si="0"/>
        <v>0</v>
      </c>
      <c r="G51" s="33" t="e">
        <f t="shared" si="1"/>
        <v>#DIV/0!</v>
      </c>
    </row>
    <row r="52" spans="1:7" ht="15.6" x14ac:dyDescent="0.3">
      <c r="A52" s="127" t="s">
        <v>60</v>
      </c>
      <c r="B52" s="127"/>
      <c r="C52" s="6" t="s">
        <v>61</v>
      </c>
      <c r="D52" s="22"/>
      <c r="E52" s="22"/>
      <c r="F52" s="22">
        <f t="shared" si="0"/>
        <v>0</v>
      </c>
      <c r="G52" s="33" t="e">
        <f t="shared" si="1"/>
        <v>#DIV/0!</v>
      </c>
    </row>
    <row r="53" spans="1:7" ht="15.6" x14ac:dyDescent="0.3">
      <c r="A53" s="127" t="s">
        <v>62</v>
      </c>
      <c r="B53" s="127"/>
      <c r="C53" s="6" t="s">
        <v>63</v>
      </c>
      <c r="D53" s="22"/>
      <c r="E53" s="22"/>
      <c r="F53" s="22">
        <f t="shared" si="0"/>
        <v>0</v>
      </c>
      <c r="G53" s="33" t="e">
        <f t="shared" si="1"/>
        <v>#DIV/0!</v>
      </c>
    </row>
    <row r="54" spans="1:7" ht="15.6" x14ac:dyDescent="0.3">
      <c r="A54" s="127" t="s">
        <v>64</v>
      </c>
      <c r="B54" s="127"/>
      <c r="C54" s="6" t="s">
        <v>65</v>
      </c>
      <c r="D54" s="22"/>
      <c r="E54" s="22"/>
      <c r="F54" s="22">
        <f t="shared" si="0"/>
        <v>0</v>
      </c>
      <c r="G54" s="33" t="e">
        <f t="shared" si="1"/>
        <v>#DIV/0!</v>
      </c>
    </row>
    <row r="55" spans="1:7" ht="15.6" x14ac:dyDescent="0.3">
      <c r="A55" s="127" t="s">
        <v>66</v>
      </c>
      <c r="B55" s="127"/>
      <c r="C55" s="6" t="s">
        <v>67</v>
      </c>
      <c r="D55" s="22"/>
      <c r="E55" s="22"/>
      <c r="F55" s="22">
        <f t="shared" si="0"/>
        <v>0</v>
      </c>
      <c r="G55" s="33" t="e">
        <f t="shared" si="1"/>
        <v>#DIV/0!</v>
      </c>
    </row>
    <row r="56" spans="1:7" ht="15.6" x14ac:dyDescent="0.3">
      <c r="A56" s="127" t="s">
        <v>68</v>
      </c>
      <c r="B56" s="127"/>
      <c r="C56" s="6" t="s">
        <v>69</v>
      </c>
      <c r="D56" s="22"/>
      <c r="E56" s="22"/>
      <c r="F56" s="22">
        <f t="shared" si="0"/>
        <v>0</v>
      </c>
      <c r="G56" s="33" t="e">
        <f t="shared" si="1"/>
        <v>#DIV/0!</v>
      </c>
    </row>
    <row r="57" spans="1:7" ht="15.6" x14ac:dyDescent="0.3">
      <c r="A57" s="127" t="s">
        <v>43</v>
      </c>
      <c r="B57" s="127"/>
      <c r="C57" s="6" t="s">
        <v>70</v>
      </c>
      <c r="D57" s="22"/>
      <c r="E57" s="22"/>
      <c r="F57" s="22">
        <f t="shared" si="0"/>
        <v>0</v>
      </c>
      <c r="G57" s="33" t="e">
        <f t="shared" si="1"/>
        <v>#DIV/0!</v>
      </c>
    </row>
    <row r="58" spans="1:7" ht="15.6" x14ac:dyDescent="0.3">
      <c r="A58" s="127" t="s">
        <v>45</v>
      </c>
      <c r="B58" s="127"/>
      <c r="C58" s="6" t="s">
        <v>71</v>
      </c>
      <c r="D58" s="22"/>
      <c r="E58" s="22"/>
      <c r="F58" s="22">
        <f t="shared" si="0"/>
        <v>0</v>
      </c>
      <c r="G58" s="33" t="e">
        <f t="shared" si="1"/>
        <v>#DIV/0!</v>
      </c>
    </row>
    <row r="59" spans="1:7" ht="15.6" x14ac:dyDescent="0.3">
      <c r="A59" s="127" t="s">
        <v>72</v>
      </c>
      <c r="B59" s="127"/>
      <c r="C59" s="6" t="s">
        <v>73</v>
      </c>
      <c r="D59" s="22"/>
      <c r="E59" s="22"/>
      <c r="F59" s="22">
        <f t="shared" si="0"/>
        <v>0</v>
      </c>
      <c r="G59" s="33" t="e">
        <f t="shared" si="1"/>
        <v>#DIV/0!</v>
      </c>
    </row>
    <row r="60" spans="1:7" ht="15.6" x14ac:dyDescent="0.3">
      <c r="A60" s="127" t="s">
        <v>74</v>
      </c>
      <c r="B60" s="127"/>
      <c r="C60" s="6" t="s">
        <v>75</v>
      </c>
      <c r="D60" s="22"/>
      <c r="E60" s="22"/>
      <c r="F60" s="22">
        <f t="shared" si="0"/>
        <v>0</v>
      </c>
      <c r="G60" s="33" t="e">
        <f t="shared" si="1"/>
        <v>#DIV/0!</v>
      </c>
    </row>
    <row r="61" spans="1:7" ht="15.6" x14ac:dyDescent="0.3">
      <c r="A61" s="127" t="s">
        <v>76</v>
      </c>
      <c r="B61" s="127"/>
      <c r="C61" s="6" t="s">
        <v>77</v>
      </c>
      <c r="D61" s="22"/>
      <c r="E61" s="22"/>
      <c r="F61" s="22">
        <f t="shared" si="0"/>
        <v>0</v>
      </c>
      <c r="G61" s="33" t="e">
        <f t="shared" si="1"/>
        <v>#DIV/0!</v>
      </c>
    </row>
    <row r="62" spans="1:7" ht="15.6" x14ac:dyDescent="0.3">
      <c r="A62" s="127" t="s">
        <v>78</v>
      </c>
      <c r="B62" s="127"/>
      <c r="C62" s="6" t="s">
        <v>79</v>
      </c>
      <c r="D62" s="22"/>
      <c r="E62" s="22"/>
      <c r="F62" s="22">
        <f t="shared" si="0"/>
        <v>0</v>
      </c>
      <c r="G62" s="33" t="e">
        <f t="shared" si="1"/>
        <v>#DIV/0!</v>
      </c>
    </row>
    <row r="63" spans="1:7" ht="15.6" x14ac:dyDescent="0.3">
      <c r="A63" s="127" t="s">
        <v>80</v>
      </c>
      <c r="B63" s="127"/>
      <c r="C63" s="6" t="s">
        <v>81</v>
      </c>
      <c r="D63" s="22"/>
      <c r="E63" s="22"/>
      <c r="F63" s="22">
        <f t="shared" si="0"/>
        <v>0</v>
      </c>
      <c r="G63" s="33" t="e">
        <f t="shared" si="1"/>
        <v>#DIV/0!</v>
      </c>
    </row>
    <row r="64" spans="1:7" ht="15.6" x14ac:dyDescent="0.3">
      <c r="A64" s="127" t="s">
        <v>82</v>
      </c>
      <c r="B64" s="127"/>
      <c r="C64" s="6" t="s">
        <v>83</v>
      </c>
      <c r="D64" s="22"/>
      <c r="E64" s="22"/>
      <c r="F64" s="22">
        <f t="shared" si="0"/>
        <v>0</v>
      </c>
      <c r="G64" s="33" t="e">
        <f t="shared" si="1"/>
        <v>#DIV/0!</v>
      </c>
    </row>
    <row r="65" spans="1:7" ht="15.6" x14ac:dyDescent="0.3">
      <c r="A65" s="127" t="s">
        <v>84</v>
      </c>
      <c r="B65" s="127"/>
      <c r="C65" s="6" t="s">
        <v>85</v>
      </c>
      <c r="D65" s="22"/>
      <c r="E65" s="22"/>
      <c r="F65" s="22">
        <f t="shared" si="0"/>
        <v>0</v>
      </c>
      <c r="G65" s="33" t="e">
        <f t="shared" si="1"/>
        <v>#DIV/0!</v>
      </c>
    </row>
    <row r="66" spans="1:7" ht="15.6" x14ac:dyDescent="0.3">
      <c r="A66" s="127" t="s">
        <v>86</v>
      </c>
      <c r="B66" s="127"/>
      <c r="C66" s="6" t="s">
        <v>87</v>
      </c>
      <c r="D66" s="22"/>
      <c r="E66" s="22"/>
      <c r="F66" s="22">
        <f t="shared" si="0"/>
        <v>0</v>
      </c>
      <c r="G66" s="33" t="e">
        <f t="shared" si="1"/>
        <v>#DIV/0!</v>
      </c>
    </row>
    <row r="67" spans="1:7" ht="15.6" x14ac:dyDescent="0.3">
      <c r="A67" s="127" t="s">
        <v>88</v>
      </c>
      <c r="B67" s="127"/>
      <c r="C67" s="6" t="s">
        <v>89</v>
      </c>
      <c r="D67" s="22"/>
      <c r="E67" s="22"/>
      <c r="F67" s="22">
        <f t="shared" si="0"/>
        <v>0</v>
      </c>
      <c r="G67" s="33" t="e">
        <f t="shared" si="1"/>
        <v>#DIV/0!</v>
      </c>
    </row>
    <row r="68" spans="1:7" ht="15.6" x14ac:dyDescent="0.3">
      <c r="A68" s="127" t="s">
        <v>90</v>
      </c>
      <c r="B68" s="127"/>
      <c r="C68" s="6" t="s">
        <v>91</v>
      </c>
      <c r="D68" s="22"/>
      <c r="E68" s="22"/>
      <c r="F68" s="22">
        <f t="shared" si="0"/>
        <v>0</v>
      </c>
      <c r="G68" s="33" t="e">
        <f t="shared" si="1"/>
        <v>#DIV/0!</v>
      </c>
    </row>
    <row r="69" spans="1:7" ht="15.6" x14ac:dyDescent="0.3">
      <c r="A69" s="127" t="s">
        <v>37</v>
      </c>
      <c r="B69" s="127"/>
      <c r="C69" s="6" t="s">
        <v>92</v>
      </c>
      <c r="D69" s="22"/>
      <c r="E69" s="22"/>
      <c r="F69" s="22">
        <f t="shared" si="0"/>
        <v>0</v>
      </c>
      <c r="G69" s="33" t="e">
        <f t="shared" si="1"/>
        <v>#DIV/0!</v>
      </c>
    </row>
    <row r="70" spans="1:7" ht="15.6" x14ac:dyDescent="0.3">
      <c r="A70" s="127" t="s">
        <v>39</v>
      </c>
      <c r="B70" s="127"/>
      <c r="C70" s="6" t="s">
        <v>93</v>
      </c>
      <c r="D70" s="22"/>
      <c r="E70" s="22"/>
      <c r="F70" s="22">
        <f t="shared" si="0"/>
        <v>0</v>
      </c>
      <c r="G70" s="33" t="e">
        <f t="shared" si="1"/>
        <v>#DIV/0!</v>
      </c>
    </row>
    <row r="71" spans="1:7" ht="15.6" x14ac:dyDescent="0.3">
      <c r="A71" s="127" t="s">
        <v>41</v>
      </c>
      <c r="B71" s="127"/>
      <c r="C71" s="6" t="s">
        <v>94</v>
      </c>
      <c r="D71" s="22"/>
      <c r="E71" s="22"/>
      <c r="F71" s="22">
        <f t="shared" si="0"/>
        <v>0</v>
      </c>
      <c r="G71" s="33" t="e">
        <f t="shared" si="1"/>
        <v>#DIV/0!</v>
      </c>
    </row>
    <row r="72" spans="1:7" ht="15.6" x14ac:dyDescent="0.3">
      <c r="A72" s="127" t="s">
        <v>95</v>
      </c>
      <c r="B72" s="127"/>
      <c r="C72" s="6" t="s">
        <v>96</v>
      </c>
      <c r="D72" s="22"/>
      <c r="E72" s="22"/>
      <c r="F72" s="22">
        <f t="shared" si="0"/>
        <v>0</v>
      </c>
      <c r="G72" s="33" t="e">
        <f t="shared" si="1"/>
        <v>#DIV/0!</v>
      </c>
    </row>
    <row r="73" spans="1:7" ht="15.6" x14ac:dyDescent="0.3">
      <c r="A73" s="127" t="s">
        <v>97</v>
      </c>
      <c r="B73" s="127"/>
      <c r="C73" s="6" t="s">
        <v>98</v>
      </c>
      <c r="D73" s="22"/>
      <c r="E73" s="22"/>
      <c r="F73" s="22">
        <f t="shared" si="0"/>
        <v>0</v>
      </c>
      <c r="G73" s="33" t="e">
        <f t="shared" si="1"/>
        <v>#DIV/0!</v>
      </c>
    </row>
    <row r="74" spans="1:7" ht="15.6" x14ac:dyDescent="0.3">
      <c r="A74" s="127" t="s">
        <v>99</v>
      </c>
      <c r="B74" s="127"/>
      <c r="C74" s="6" t="s">
        <v>100</v>
      </c>
      <c r="D74" s="22"/>
      <c r="E74" s="22"/>
      <c r="F74" s="22">
        <f t="shared" si="0"/>
        <v>0</v>
      </c>
      <c r="G74" s="33" t="e">
        <f t="shared" si="1"/>
        <v>#DIV/0!</v>
      </c>
    </row>
    <row r="75" spans="1:7" ht="15.6" x14ac:dyDescent="0.3">
      <c r="A75" s="127" t="s">
        <v>101</v>
      </c>
      <c r="B75" s="127"/>
      <c r="C75" s="6" t="s">
        <v>102</v>
      </c>
      <c r="D75" s="22"/>
      <c r="E75" s="22"/>
      <c r="F75" s="22">
        <f t="shared" si="0"/>
        <v>0</v>
      </c>
      <c r="G75" s="33" t="e">
        <f t="shared" si="1"/>
        <v>#DIV/0!</v>
      </c>
    </row>
    <row r="76" spans="1:7" ht="15.6" x14ac:dyDescent="0.3">
      <c r="A76" s="127" t="s">
        <v>103</v>
      </c>
      <c r="B76" s="127"/>
      <c r="C76" s="6" t="s">
        <v>104</v>
      </c>
      <c r="D76" s="22"/>
      <c r="E76" s="22"/>
      <c r="F76" s="22">
        <f t="shared" si="0"/>
        <v>0</v>
      </c>
      <c r="G76" s="33" t="e">
        <f t="shared" si="1"/>
        <v>#DIV/0!</v>
      </c>
    </row>
    <row r="77" spans="1:7" ht="15.6" x14ac:dyDescent="0.3">
      <c r="A77" s="127" t="s">
        <v>105</v>
      </c>
      <c r="B77" s="127"/>
      <c r="C77" s="6" t="s">
        <v>106</v>
      </c>
      <c r="D77" s="22"/>
      <c r="E77" s="22"/>
      <c r="F77" s="22">
        <f t="shared" si="0"/>
        <v>0</v>
      </c>
      <c r="G77" s="33" t="e">
        <f t="shared" si="1"/>
        <v>#DIV/0!</v>
      </c>
    </row>
    <row r="78" spans="1:7" ht="15.6" x14ac:dyDescent="0.3">
      <c r="A78" s="127" t="s">
        <v>107</v>
      </c>
      <c r="B78" s="127"/>
      <c r="C78" s="6" t="s">
        <v>108</v>
      </c>
      <c r="D78" s="22"/>
      <c r="E78" s="22"/>
      <c r="F78" s="22">
        <f t="shared" si="0"/>
        <v>0</v>
      </c>
      <c r="G78" s="33" t="e">
        <f t="shared" si="1"/>
        <v>#DIV/0!</v>
      </c>
    </row>
    <row r="79" spans="1:7" ht="15.6" x14ac:dyDescent="0.3">
      <c r="A79" s="125" t="s">
        <v>109</v>
      </c>
      <c r="B79" s="125"/>
      <c r="C79" s="23">
        <v>9</v>
      </c>
      <c r="D79" s="23">
        <f>SUM(D80:D86)</f>
        <v>0</v>
      </c>
      <c r="E79" s="23">
        <f t="shared" ref="E79" si="6">SUM(E80:E86)</f>
        <v>0</v>
      </c>
      <c r="F79" s="23">
        <f t="shared" si="0"/>
        <v>0</v>
      </c>
      <c r="G79" s="32" t="e">
        <f t="shared" si="1"/>
        <v>#DIV/0!</v>
      </c>
    </row>
    <row r="80" spans="1:7" ht="15.6" x14ac:dyDescent="0.3">
      <c r="A80" s="127" t="s">
        <v>110</v>
      </c>
      <c r="B80" s="127"/>
      <c r="C80" s="6" t="s">
        <v>111</v>
      </c>
      <c r="D80" s="22"/>
      <c r="E80" s="22"/>
      <c r="F80" s="22">
        <f t="shared" si="0"/>
        <v>0</v>
      </c>
      <c r="G80" s="33" t="e">
        <f t="shared" si="1"/>
        <v>#DIV/0!</v>
      </c>
    </row>
    <row r="81" spans="1:7" ht="15.6" x14ac:dyDescent="0.3">
      <c r="A81" s="127" t="s">
        <v>112</v>
      </c>
      <c r="B81" s="127"/>
      <c r="C81" s="6" t="s">
        <v>113</v>
      </c>
      <c r="D81" s="22"/>
      <c r="E81" s="22"/>
      <c r="F81" s="22">
        <f t="shared" si="0"/>
        <v>0</v>
      </c>
      <c r="G81" s="33" t="e">
        <f t="shared" si="1"/>
        <v>#DIV/0!</v>
      </c>
    </row>
    <row r="82" spans="1:7" ht="15.6" x14ac:dyDescent="0.3">
      <c r="A82" s="127" t="s">
        <v>43</v>
      </c>
      <c r="B82" s="127"/>
      <c r="C82" s="6" t="s">
        <v>114</v>
      </c>
      <c r="D82" s="22"/>
      <c r="E82" s="22"/>
      <c r="F82" s="22">
        <f t="shared" si="0"/>
        <v>0</v>
      </c>
      <c r="G82" s="33" t="e">
        <f t="shared" si="1"/>
        <v>#DIV/0!</v>
      </c>
    </row>
    <row r="83" spans="1:7" ht="15.6" x14ac:dyDescent="0.3">
      <c r="A83" s="127" t="s">
        <v>115</v>
      </c>
      <c r="B83" s="127"/>
      <c r="C83" s="6" t="s">
        <v>116</v>
      </c>
      <c r="D83" s="22"/>
      <c r="E83" s="22"/>
      <c r="F83" s="22">
        <f t="shared" si="0"/>
        <v>0</v>
      </c>
      <c r="G83" s="33" t="e">
        <f t="shared" si="1"/>
        <v>#DIV/0!</v>
      </c>
    </row>
    <row r="84" spans="1:7" ht="15.6" x14ac:dyDescent="0.3">
      <c r="A84" s="127" t="s">
        <v>117</v>
      </c>
      <c r="B84" s="127"/>
      <c r="C84" s="6" t="s">
        <v>118</v>
      </c>
      <c r="D84" s="22"/>
      <c r="E84" s="22"/>
      <c r="F84" s="22">
        <f t="shared" si="0"/>
        <v>0</v>
      </c>
      <c r="G84" s="33" t="e">
        <f t="shared" si="1"/>
        <v>#DIV/0!</v>
      </c>
    </row>
    <row r="85" spans="1:7" ht="15.6" x14ac:dyDescent="0.3">
      <c r="A85" s="127" t="s">
        <v>119</v>
      </c>
      <c r="B85" s="127"/>
      <c r="C85" s="6" t="s">
        <v>120</v>
      </c>
      <c r="D85" s="22"/>
      <c r="E85" s="22"/>
      <c r="F85" s="22">
        <f t="shared" si="0"/>
        <v>0</v>
      </c>
      <c r="G85" s="33" t="e">
        <f t="shared" si="1"/>
        <v>#DIV/0!</v>
      </c>
    </row>
    <row r="86" spans="1:7" ht="15.6" x14ac:dyDescent="0.3">
      <c r="A86" s="127" t="s">
        <v>121</v>
      </c>
      <c r="B86" s="127"/>
      <c r="C86" s="6" t="s">
        <v>122</v>
      </c>
      <c r="D86" s="22"/>
      <c r="E86" s="22"/>
      <c r="F86" s="22">
        <f t="shared" si="0"/>
        <v>0</v>
      </c>
      <c r="G86" s="33" t="e">
        <f t="shared" si="1"/>
        <v>#DIV/0!</v>
      </c>
    </row>
    <row r="87" spans="1:7" ht="15.6" x14ac:dyDescent="0.3">
      <c r="A87" s="125" t="s">
        <v>123</v>
      </c>
      <c r="B87" s="125"/>
      <c r="C87" s="23">
        <v>10</v>
      </c>
      <c r="D87" s="23">
        <f>SUM(D88:D92)</f>
        <v>0</v>
      </c>
      <c r="E87" s="23">
        <f t="shared" ref="E87" si="7">SUM(E88:E92)</f>
        <v>0</v>
      </c>
      <c r="F87" s="23">
        <f t="shared" si="0"/>
        <v>0</v>
      </c>
      <c r="G87" s="32" t="e">
        <f t="shared" si="1"/>
        <v>#DIV/0!</v>
      </c>
    </row>
    <row r="88" spans="1:7" ht="15.6" x14ac:dyDescent="0.3">
      <c r="A88" s="135" t="s">
        <v>124</v>
      </c>
      <c r="B88" s="135"/>
      <c r="C88" s="6" t="s">
        <v>125</v>
      </c>
      <c r="D88" s="22"/>
      <c r="E88" s="22"/>
      <c r="F88" s="22">
        <f t="shared" si="0"/>
        <v>0</v>
      </c>
      <c r="G88" s="33" t="e">
        <f t="shared" si="1"/>
        <v>#DIV/0!</v>
      </c>
    </row>
    <row r="89" spans="1:7" ht="15.6" x14ac:dyDescent="0.3">
      <c r="A89" s="135" t="s">
        <v>126</v>
      </c>
      <c r="B89" s="135"/>
      <c r="C89" s="6" t="s">
        <v>127</v>
      </c>
      <c r="D89" s="22"/>
      <c r="E89" s="22"/>
      <c r="F89" s="22">
        <f t="shared" si="0"/>
        <v>0</v>
      </c>
      <c r="G89" s="33" t="e">
        <f t="shared" si="1"/>
        <v>#DIV/0!</v>
      </c>
    </row>
    <row r="90" spans="1:7" ht="15.6" x14ac:dyDescent="0.3">
      <c r="A90" s="135" t="s">
        <v>128</v>
      </c>
      <c r="B90" s="135"/>
      <c r="C90" s="6" t="s">
        <v>129</v>
      </c>
      <c r="D90" s="22"/>
      <c r="E90" s="22"/>
      <c r="F90" s="22">
        <f t="shared" si="0"/>
        <v>0</v>
      </c>
      <c r="G90" s="33" t="e">
        <f t="shared" si="1"/>
        <v>#DIV/0!</v>
      </c>
    </row>
    <row r="91" spans="1:7" ht="15.6" x14ac:dyDescent="0.3">
      <c r="A91" s="135" t="s">
        <v>130</v>
      </c>
      <c r="B91" s="135"/>
      <c r="C91" s="6" t="s">
        <v>131</v>
      </c>
      <c r="D91" s="22"/>
      <c r="E91" s="22"/>
      <c r="F91" s="22">
        <f t="shared" si="0"/>
        <v>0</v>
      </c>
      <c r="G91" s="33" t="e">
        <f t="shared" si="1"/>
        <v>#DIV/0!</v>
      </c>
    </row>
    <row r="92" spans="1:7" ht="15.6" x14ac:dyDescent="0.3">
      <c r="A92" s="135" t="s">
        <v>132</v>
      </c>
      <c r="B92" s="135"/>
      <c r="C92" s="6" t="s">
        <v>133</v>
      </c>
      <c r="D92" s="22"/>
      <c r="E92" s="22"/>
      <c r="F92" s="22">
        <f t="shared" ref="F92:F155" si="8">D92-E92</f>
        <v>0</v>
      </c>
      <c r="G92" s="33" t="e">
        <f t="shared" ref="G92:G155" si="9">D92/E92-1</f>
        <v>#DIV/0!</v>
      </c>
    </row>
    <row r="93" spans="1:7" ht="15.6" x14ac:dyDescent="0.3">
      <c r="A93" s="134" t="s">
        <v>134</v>
      </c>
      <c r="B93" s="134"/>
      <c r="C93" s="8" t="s">
        <v>135</v>
      </c>
      <c r="D93" s="22"/>
      <c r="E93" s="22"/>
      <c r="F93" s="23">
        <f t="shared" si="8"/>
        <v>0</v>
      </c>
      <c r="G93" s="32" t="e">
        <f t="shared" si="9"/>
        <v>#DIV/0!</v>
      </c>
    </row>
    <row r="94" spans="1:7" ht="15.6" x14ac:dyDescent="0.3">
      <c r="A94" s="135" t="s">
        <v>136</v>
      </c>
      <c r="B94" s="135"/>
      <c r="C94" s="6" t="s">
        <v>137</v>
      </c>
      <c r="D94" s="22"/>
      <c r="E94" s="22"/>
      <c r="F94" s="22">
        <f t="shared" si="8"/>
        <v>0</v>
      </c>
      <c r="G94" s="33" t="e">
        <f t="shared" si="9"/>
        <v>#DIV/0!</v>
      </c>
    </row>
    <row r="95" spans="1:7" ht="15.6" x14ac:dyDescent="0.3">
      <c r="A95" s="134" t="s">
        <v>138</v>
      </c>
      <c r="B95" s="134"/>
      <c r="C95" s="8" t="s">
        <v>139</v>
      </c>
      <c r="D95" s="22"/>
      <c r="E95" s="22"/>
      <c r="F95" s="23">
        <f t="shared" si="8"/>
        <v>0</v>
      </c>
      <c r="G95" s="32" t="e">
        <f t="shared" si="9"/>
        <v>#DIV/0!</v>
      </c>
    </row>
    <row r="96" spans="1:7" ht="15.6" x14ac:dyDescent="0.3">
      <c r="A96" s="135" t="s">
        <v>136</v>
      </c>
      <c r="B96" s="135"/>
      <c r="C96" s="6" t="s">
        <v>140</v>
      </c>
      <c r="D96" s="22"/>
      <c r="E96" s="22"/>
      <c r="F96" s="22">
        <f t="shared" si="8"/>
        <v>0</v>
      </c>
      <c r="G96" s="33" t="e">
        <f t="shared" si="9"/>
        <v>#DIV/0!</v>
      </c>
    </row>
    <row r="97" spans="1:7" ht="15.6" x14ac:dyDescent="0.3">
      <c r="A97" s="125" t="s">
        <v>141</v>
      </c>
      <c r="B97" s="125"/>
      <c r="C97" s="23">
        <v>13</v>
      </c>
      <c r="D97" s="23">
        <f>SUM(D98:D106)</f>
        <v>0</v>
      </c>
      <c r="E97" s="23">
        <f t="shared" ref="E97" si="10">SUM(E98:E106)</f>
        <v>0</v>
      </c>
      <c r="F97" s="23">
        <f t="shared" si="8"/>
        <v>0</v>
      </c>
      <c r="G97" s="32" t="e">
        <f t="shared" si="9"/>
        <v>#DIV/0!</v>
      </c>
    </row>
    <row r="98" spans="1:7" ht="15.6" x14ac:dyDescent="0.3">
      <c r="A98" s="135" t="s">
        <v>142</v>
      </c>
      <c r="B98" s="135"/>
      <c r="C98" s="6" t="s">
        <v>143</v>
      </c>
      <c r="D98" s="22"/>
      <c r="E98" s="22"/>
      <c r="F98" s="22">
        <f t="shared" si="8"/>
        <v>0</v>
      </c>
      <c r="G98" s="33" t="e">
        <f t="shared" si="9"/>
        <v>#DIV/0!</v>
      </c>
    </row>
    <row r="99" spans="1:7" ht="15.6" x14ac:dyDescent="0.3">
      <c r="A99" s="135" t="s">
        <v>144</v>
      </c>
      <c r="B99" s="135"/>
      <c r="C99" s="6" t="s">
        <v>145</v>
      </c>
      <c r="D99" s="22"/>
      <c r="E99" s="22"/>
      <c r="F99" s="22">
        <f t="shared" si="8"/>
        <v>0</v>
      </c>
      <c r="G99" s="33" t="e">
        <f t="shared" si="9"/>
        <v>#DIV/0!</v>
      </c>
    </row>
    <row r="100" spans="1:7" ht="15.6" x14ac:dyDescent="0.3">
      <c r="A100" s="135" t="s">
        <v>146</v>
      </c>
      <c r="B100" s="135"/>
      <c r="C100" s="6" t="s">
        <v>147</v>
      </c>
      <c r="D100" s="22"/>
      <c r="E100" s="22"/>
      <c r="F100" s="22">
        <f t="shared" si="8"/>
        <v>0</v>
      </c>
      <c r="G100" s="33" t="e">
        <f t="shared" si="9"/>
        <v>#DIV/0!</v>
      </c>
    </row>
    <row r="101" spans="1:7" ht="15.6" x14ac:dyDescent="0.3">
      <c r="A101" s="135" t="s">
        <v>148</v>
      </c>
      <c r="B101" s="135"/>
      <c r="C101" s="6" t="s">
        <v>149</v>
      </c>
      <c r="D101" s="22"/>
      <c r="E101" s="22"/>
      <c r="F101" s="22">
        <f t="shared" si="8"/>
        <v>0</v>
      </c>
      <c r="G101" s="33" t="e">
        <f t="shared" si="9"/>
        <v>#DIV/0!</v>
      </c>
    </row>
    <row r="102" spans="1:7" ht="15.6" x14ac:dyDescent="0.3">
      <c r="A102" s="135" t="s">
        <v>150</v>
      </c>
      <c r="B102" s="135"/>
      <c r="C102" s="6" t="s">
        <v>151</v>
      </c>
      <c r="D102" s="22"/>
      <c r="E102" s="22"/>
      <c r="F102" s="22">
        <f t="shared" si="8"/>
        <v>0</v>
      </c>
      <c r="G102" s="33" t="e">
        <f t="shared" si="9"/>
        <v>#DIV/0!</v>
      </c>
    </row>
    <row r="103" spans="1:7" ht="15.6" x14ac:dyDescent="0.3">
      <c r="A103" s="135" t="s">
        <v>152</v>
      </c>
      <c r="B103" s="135"/>
      <c r="C103" s="6" t="s">
        <v>153</v>
      </c>
      <c r="D103" s="22"/>
      <c r="E103" s="22"/>
      <c r="F103" s="22">
        <f t="shared" si="8"/>
        <v>0</v>
      </c>
      <c r="G103" s="33" t="e">
        <f t="shared" si="9"/>
        <v>#DIV/0!</v>
      </c>
    </row>
    <row r="104" spans="1:7" ht="15.6" x14ac:dyDescent="0.3">
      <c r="A104" s="135" t="s">
        <v>154</v>
      </c>
      <c r="B104" s="135"/>
      <c r="C104" s="6" t="s">
        <v>155</v>
      </c>
      <c r="D104" s="22"/>
      <c r="E104" s="22"/>
      <c r="F104" s="22">
        <f t="shared" si="8"/>
        <v>0</v>
      </c>
      <c r="G104" s="33" t="e">
        <f t="shared" si="9"/>
        <v>#DIV/0!</v>
      </c>
    </row>
    <row r="105" spans="1:7" ht="15.6" x14ac:dyDescent="0.3">
      <c r="A105" s="135" t="s">
        <v>156</v>
      </c>
      <c r="B105" s="135"/>
      <c r="C105" s="6" t="s">
        <v>157</v>
      </c>
      <c r="D105" s="22"/>
      <c r="E105" s="22"/>
      <c r="F105" s="22">
        <f t="shared" si="8"/>
        <v>0</v>
      </c>
      <c r="G105" s="33" t="e">
        <f t="shared" si="9"/>
        <v>#DIV/0!</v>
      </c>
    </row>
    <row r="106" spans="1:7" ht="15.6" x14ac:dyDescent="0.3">
      <c r="A106" s="135" t="s">
        <v>158</v>
      </c>
      <c r="B106" s="135"/>
      <c r="C106" s="6" t="s">
        <v>159</v>
      </c>
      <c r="D106" s="22"/>
      <c r="E106" s="22"/>
      <c r="F106" s="22">
        <f t="shared" si="8"/>
        <v>0</v>
      </c>
      <c r="G106" s="33" t="e">
        <f t="shared" si="9"/>
        <v>#DIV/0!</v>
      </c>
    </row>
    <row r="107" spans="1:7" ht="15.6" x14ac:dyDescent="0.3">
      <c r="A107" s="134" t="s">
        <v>160</v>
      </c>
      <c r="B107" s="134"/>
      <c r="C107" s="8" t="s">
        <v>161</v>
      </c>
      <c r="D107" s="7">
        <f>D47+D87+D93+D95-D48-D79-D97</f>
        <v>0</v>
      </c>
      <c r="E107" s="7">
        <f t="shared" ref="E107" si="11">E47+E87+E93+E95-E48-E79-E97</f>
        <v>0</v>
      </c>
      <c r="F107" s="23">
        <f t="shared" si="8"/>
        <v>0</v>
      </c>
      <c r="G107" s="32" t="e">
        <f t="shared" si="9"/>
        <v>#DIV/0!</v>
      </c>
    </row>
    <row r="108" spans="1:7" ht="15.6" x14ac:dyDescent="0.3">
      <c r="A108" s="134" t="s">
        <v>162</v>
      </c>
      <c r="B108" s="134"/>
      <c r="C108" s="8" t="s">
        <v>163</v>
      </c>
      <c r="D108" s="22"/>
      <c r="E108" s="22"/>
      <c r="F108" s="23">
        <f t="shared" si="8"/>
        <v>0</v>
      </c>
      <c r="G108" s="32" t="e">
        <f t="shared" si="9"/>
        <v>#DIV/0!</v>
      </c>
    </row>
    <row r="109" spans="1:7" ht="15.6" x14ac:dyDescent="0.3">
      <c r="A109" s="125" t="s">
        <v>164</v>
      </c>
      <c r="B109" s="125"/>
      <c r="C109" s="23">
        <v>16</v>
      </c>
      <c r="D109" s="22"/>
      <c r="E109" s="22"/>
      <c r="F109" s="23">
        <f t="shared" si="8"/>
        <v>0</v>
      </c>
      <c r="G109" s="32" t="e">
        <f t="shared" si="9"/>
        <v>#DIV/0!</v>
      </c>
    </row>
    <row r="110" spans="1:7" ht="15.6" x14ac:dyDescent="0.3">
      <c r="A110" s="134" t="s">
        <v>165</v>
      </c>
      <c r="B110" s="134"/>
      <c r="C110" s="8" t="s">
        <v>166</v>
      </c>
      <c r="D110" s="22"/>
      <c r="E110" s="22"/>
      <c r="F110" s="23">
        <f t="shared" si="8"/>
        <v>0</v>
      </c>
      <c r="G110" s="32" t="e">
        <f t="shared" si="9"/>
        <v>#DIV/0!</v>
      </c>
    </row>
    <row r="111" spans="1:7" ht="15.6" x14ac:dyDescent="0.3">
      <c r="A111" s="134" t="s">
        <v>167</v>
      </c>
      <c r="B111" s="134"/>
      <c r="C111" s="8" t="s">
        <v>168</v>
      </c>
      <c r="D111" s="22"/>
      <c r="E111" s="22"/>
      <c r="F111" s="23">
        <f t="shared" si="8"/>
        <v>0</v>
      </c>
      <c r="G111" s="32" t="e">
        <f t="shared" si="9"/>
        <v>#DIV/0!</v>
      </c>
    </row>
    <row r="112" spans="1:7" ht="15.6" x14ac:dyDescent="0.3">
      <c r="A112" s="134" t="s">
        <v>169</v>
      </c>
      <c r="B112" s="134"/>
      <c r="C112" s="8" t="s">
        <v>170</v>
      </c>
      <c r="D112" s="23">
        <f>SUM(D113:D115)</f>
        <v>0</v>
      </c>
      <c r="E112" s="23">
        <f t="shared" ref="E112" si="12">SUM(E113:E115)</f>
        <v>0</v>
      </c>
      <c r="F112" s="23">
        <f t="shared" si="8"/>
        <v>0</v>
      </c>
      <c r="G112" s="32" t="e">
        <f t="shared" si="9"/>
        <v>#DIV/0!</v>
      </c>
    </row>
    <row r="113" spans="1:7" ht="15.6" x14ac:dyDescent="0.3">
      <c r="A113" s="135" t="s">
        <v>171</v>
      </c>
      <c r="B113" s="135"/>
      <c r="C113" s="6" t="s">
        <v>172</v>
      </c>
      <c r="D113" s="22"/>
      <c r="E113" s="22"/>
      <c r="F113" s="22">
        <f t="shared" si="8"/>
        <v>0</v>
      </c>
      <c r="G113" s="33" t="e">
        <f t="shared" si="9"/>
        <v>#DIV/0!</v>
      </c>
    </row>
    <row r="114" spans="1:7" ht="15.6" x14ac:dyDescent="0.3">
      <c r="A114" s="135" t="s">
        <v>173</v>
      </c>
      <c r="B114" s="135"/>
      <c r="C114" s="6" t="s">
        <v>174</v>
      </c>
      <c r="D114" s="22"/>
      <c r="E114" s="22"/>
      <c r="F114" s="22">
        <f t="shared" si="8"/>
        <v>0</v>
      </c>
      <c r="G114" s="33" t="e">
        <f t="shared" si="9"/>
        <v>#DIV/0!</v>
      </c>
    </row>
    <row r="115" spans="1:7" ht="15.6" x14ac:dyDescent="0.3">
      <c r="A115" s="135" t="s">
        <v>175</v>
      </c>
      <c r="B115" s="135"/>
      <c r="C115" s="6" t="s">
        <v>176</v>
      </c>
      <c r="D115" s="22"/>
      <c r="E115" s="22"/>
      <c r="F115" s="22">
        <f t="shared" si="8"/>
        <v>0</v>
      </c>
      <c r="G115" s="33" t="e">
        <f t="shared" si="9"/>
        <v>#DIV/0!</v>
      </c>
    </row>
    <row r="116" spans="1:7" ht="15.6" x14ac:dyDescent="0.3">
      <c r="A116" s="134" t="s">
        <v>177</v>
      </c>
      <c r="B116" s="134"/>
      <c r="C116" s="8" t="s">
        <v>178</v>
      </c>
      <c r="D116" s="23">
        <f>SUM(D117:D120)</f>
        <v>0</v>
      </c>
      <c r="E116" s="23">
        <f t="shared" ref="E116" si="13">SUM(E117:E120)</f>
        <v>0</v>
      </c>
      <c r="F116" s="23">
        <f t="shared" si="8"/>
        <v>0</v>
      </c>
      <c r="G116" s="32" t="e">
        <f t="shared" si="9"/>
        <v>#DIV/0!</v>
      </c>
    </row>
    <row r="117" spans="1:7" ht="15.6" x14ac:dyDescent="0.3">
      <c r="A117" s="135" t="s">
        <v>179</v>
      </c>
      <c r="B117" s="135"/>
      <c r="C117" s="6" t="s">
        <v>180</v>
      </c>
      <c r="D117" s="22"/>
      <c r="E117" s="22"/>
      <c r="F117" s="22">
        <f t="shared" si="8"/>
        <v>0</v>
      </c>
      <c r="G117" s="33" t="e">
        <f t="shared" si="9"/>
        <v>#DIV/0!</v>
      </c>
    </row>
    <row r="118" spans="1:7" ht="15.6" x14ac:dyDescent="0.3">
      <c r="A118" s="135" t="s">
        <v>181</v>
      </c>
      <c r="B118" s="135"/>
      <c r="C118" s="6" t="s">
        <v>182</v>
      </c>
      <c r="D118" s="22"/>
      <c r="E118" s="22"/>
      <c r="F118" s="22">
        <f t="shared" si="8"/>
        <v>0</v>
      </c>
      <c r="G118" s="33" t="e">
        <f t="shared" si="9"/>
        <v>#DIV/0!</v>
      </c>
    </row>
    <row r="119" spans="1:7" ht="15.6" x14ac:dyDescent="0.3">
      <c r="A119" s="135" t="s">
        <v>183</v>
      </c>
      <c r="B119" s="135"/>
      <c r="C119" s="6" t="s">
        <v>184</v>
      </c>
      <c r="D119" s="22"/>
      <c r="E119" s="22"/>
      <c r="F119" s="22">
        <f t="shared" si="8"/>
        <v>0</v>
      </c>
      <c r="G119" s="33" t="e">
        <f t="shared" si="9"/>
        <v>#DIV/0!</v>
      </c>
    </row>
    <row r="120" spans="1:7" ht="15.6" x14ac:dyDescent="0.3">
      <c r="A120" s="135" t="s">
        <v>51</v>
      </c>
      <c r="B120" s="135"/>
      <c r="C120" s="6" t="s">
        <v>185</v>
      </c>
      <c r="D120" s="22"/>
      <c r="E120" s="22"/>
      <c r="F120" s="22">
        <f t="shared" si="8"/>
        <v>0</v>
      </c>
      <c r="G120" s="33" t="e">
        <f t="shared" si="9"/>
        <v>#DIV/0!</v>
      </c>
    </row>
    <row r="121" spans="1:7" ht="15.6" x14ac:dyDescent="0.3">
      <c r="A121" s="134" t="s">
        <v>186</v>
      </c>
      <c r="B121" s="134"/>
      <c r="C121" s="8" t="s">
        <v>187</v>
      </c>
      <c r="D121" s="7">
        <f>D107+D108+D110+D112-D109-D111-D116</f>
        <v>0</v>
      </c>
      <c r="E121" s="7">
        <f t="shared" ref="E121" si="14">E107+E108+E110+E112-E109-E111-E116</f>
        <v>0</v>
      </c>
      <c r="F121" s="23">
        <f t="shared" si="8"/>
        <v>0</v>
      </c>
      <c r="G121" s="32" t="e">
        <f t="shared" si="9"/>
        <v>#DIV/0!</v>
      </c>
    </row>
    <row r="122" spans="1:7" ht="15.6" x14ac:dyDescent="0.3">
      <c r="A122" s="134" t="s">
        <v>188</v>
      </c>
      <c r="B122" s="134"/>
      <c r="C122" s="8" t="s">
        <v>189</v>
      </c>
      <c r="D122" s="22"/>
      <c r="E122" s="22"/>
      <c r="F122" s="23">
        <f t="shared" si="8"/>
        <v>0</v>
      </c>
      <c r="G122" s="32" t="e">
        <f t="shared" si="9"/>
        <v>#DIV/0!</v>
      </c>
    </row>
    <row r="123" spans="1:7" ht="15.6" x14ac:dyDescent="0.3">
      <c r="A123" s="134" t="s">
        <v>190</v>
      </c>
      <c r="B123" s="134"/>
      <c r="C123" s="8" t="s">
        <v>191</v>
      </c>
      <c r="D123" s="22"/>
      <c r="E123" s="22"/>
      <c r="F123" s="23">
        <f t="shared" si="8"/>
        <v>0</v>
      </c>
      <c r="G123" s="32" t="e">
        <f t="shared" si="9"/>
        <v>#DIV/0!</v>
      </c>
    </row>
    <row r="124" spans="1:7" ht="15.6" x14ac:dyDescent="0.3">
      <c r="A124" s="135" t="s">
        <v>192</v>
      </c>
      <c r="B124" s="135"/>
      <c r="C124" s="6" t="s">
        <v>193</v>
      </c>
      <c r="D124" s="22"/>
      <c r="E124" s="22"/>
      <c r="F124" s="22">
        <f t="shared" si="8"/>
        <v>0</v>
      </c>
      <c r="G124" s="33" t="e">
        <f t="shared" si="9"/>
        <v>#DIV/0!</v>
      </c>
    </row>
    <row r="125" spans="1:7" ht="15.6" x14ac:dyDescent="0.3">
      <c r="A125" s="135" t="s">
        <v>194</v>
      </c>
      <c r="B125" s="135"/>
      <c r="C125" s="6" t="s">
        <v>195</v>
      </c>
      <c r="D125" s="22"/>
      <c r="E125" s="22"/>
      <c r="F125" s="22">
        <f t="shared" si="8"/>
        <v>0</v>
      </c>
      <c r="G125" s="33" t="e">
        <f t="shared" si="9"/>
        <v>#DIV/0!</v>
      </c>
    </row>
    <row r="126" spans="1:7" ht="15.6" x14ac:dyDescent="0.3">
      <c r="A126" s="134" t="s">
        <v>196</v>
      </c>
      <c r="B126" s="134"/>
      <c r="C126" s="8" t="s">
        <v>197</v>
      </c>
      <c r="D126" s="22"/>
      <c r="E126" s="22"/>
      <c r="F126" s="23">
        <f t="shared" si="8"/>
        <v>0</v>
      </c>
      <c r="G126" s="32" t="e">
        <f t="shared" si="9"/>
        <v>#DIV/0!</v>
      </c>
    </row>
    <row r="127" spans="1:7" ht="15.6" x14ac:dyDescent="0.3">
      <c r="A127" s="134" t="s">
        <v>198</v>
      </c>
      <c r="B127" s="134"/>
      <c r="C127" s="8" t="s">
        <v>199</v>
      </c>
      <c r="D127" s="22"/>
      <c r="E127" s="22"/>
      <c r="F127" s="23">
        <f t="shared" si="8"/>
        <v>0</v>
      </c>
      <c r="G127" s="32" t="e">
        <f t="shared" si="9"/>
        <v>#DIV/0!</v>
      </c>
    </row>
    <row r="128" spans="1:7" ht="15.6" x14ac:dyDescent="0.3">
      <c r="A128" s="134" t="s">
        <v>200</v>
      </c>
      <c r="B128" s="134"/>
      <c r="C128" s="8" t="s">
        <v>201</v>
      </c>
      <c r="D128" s="22"/>
      <c r="E128" s="22"/>
      <c r="F128" s="23">
        <f t="shared" si="8"/>
        <v>0</v>
      </c>
      <c r="G128" s="32" t="e">
        <f t="shared" si="9"/>
        <v>#DIV/0!</v>
      </c>
    </row>
    <row r="129" spans="1:7" ht="15.6" x14ac:dyDescent="0.3">
      <c r="A129" s="134" t="s">
        <v>202</v>
      </c>
      <c r="B129" s="134"/>
      <c r="C129" s="8" t="s">
        <v>203</v>
      </c>
      <c r="D129" s="7">
        <f>D121+D124+D126-D122-D125-D127-D128</f>
        <v>0</v>
      </c>
      <c r="E129" s="7">
        <f>E121+E124+E126-E122-E125-E127-E128</f>
        <v>0</v>
      </c>
      <c r="F129" s="23">
        <f t="shared" si="8"/>
        <v>0</v>
      </c>
      <c r="G129" s="32" t="e">
        <f t="shared" si="9"/>
        <v>#DIV/0!</v>
      </c>
    </row>
    <row r="130" spans="1:7" ht="15.6" x14ac:dyDescent="0.3">
      <c r="A130" s="135" t="s">
        <v>204</v>
      </c>
      <c r="B130" s="135"/>
      <c r="C130" s="6" t="s">
        <v>205</v>
      </c>
      <c r="D130" s="9">
        <f>IF(D129&gt;=0,D129,0)</f>
        <v>0</v>
      </c>
      <c r="E130" s="9">
        <f t="shared" ref="E130" si="15">IF(E129&gt;=0,E129,0)</f>
        <v>0</v>
      </c>
      <c r="F130" s="22">
        <f t="shared" si="8"/>
        <v>0</v>
      </c>
      <c r="G130" s="33" t="e">
        <f t="shared" si="9"/>
        <v>#DIV/0!</v>
      </c>
    </row>
    <row r="131" spans="1:7" ht="15.6" x14ac:dyDescent="0.3">
      <c r="A131" s="135" t="s">
        <v>206</v>
      </c>
      <c r="B131" s="135"/>
      <c r="C131" s="6" t="s">
        <v>207</v>
      </c>
      <c r="D131" s="10">
        <f>IF(D129&lt;0,D129,0)</f>
        <v>0</v>
      </c>
      <c r="E131" s="10">
        <f t="shared" ref="E131" si="16">IF(E129&lt;0,E129,0)</f>
        <v>0</v>
      </c>
      <c r="F131" s="22">
        <f t="shared" si="8"/>
        <v>0</v>
      </c>
      <c r="G131" s="33" t="e">
        <f t="shared" si="9"/>
        <v>#DIV/0!</v>
      </c>
    </row>
    <row r="132" spans="1:7" ht="15.6" x14ac:dyDescent="0.3">
      <c r="A132" s="134" t="s">
        <v>208</v>
      </c>
      <c r="B132" s="134"/>
      <c r="C132" s="23">
        <v>28</v>
      </c>
      <c r="D132" s="23">
        <f>D31+D87+D93+D95+D108+D110+D112+D124+D126</f>
        <v>0</v>
      </c>
      <c r="E132" s="23">
        <f>E31+E87+E93+E95+E108+E110+E112+E124+E126</f>
        <v>0</v>
      </c>
      <c r="F132" s="23">
        <f t="shared" si="8"/>
        <v>0</v>
      </c>
      <c r="G132" s="32" t="e">
        <f t="shared" si="9"/>
        <v>#DIV/0!</v>
      </c>
    </row>
    <row r="133" spans="1:7" ht="15.6" x14ac:dyDescent="0.3">
      <c r="A133" s="134" t="s">
        <v>209</v>
      </c>
      <c r="B133" s="134"/>
      <c r="C133" s="23">
        <v>29</v>
      </c>
      <c r="D133" s="23">
        <f>D37+D48+D79+D97+D109+D111+D116+D122+D125+D127+D128</f>
        <v>0</v>
      </c>
      <c r="E133" s="23">
        <f>E37+E48+E79+E97+E109+E111+E116+E122+E125+E127+E128</f>
        <v>0</v>
      </c>
      <c r="F133" s="23">
        <f t="shared" si="8"/>
        <v>0</v>
      </c>
      <c r="G133" s="32" t="e">
        <f t="shared" si="9"/>
        <v>#DIV/0!</v>
      </c>
    </row>
    <row r="134" spans="1:7" ht="15.6" x14ac:dyDescent="0.3">
      <c r="A134" s="129" t="s">
        <v>210</v>
      </c>
      <c r="B134" s="130"/>
      <c r="C134" s="130"/>
      <c r="D134" s="130"/>
      <c r="E134" s="130"/>
      <c r="F134" s="130"/>
      <c r="G134" s="131"/>
    </row>
    <row r="135" spans="1:7" ht="15.6" x14ac:dyDescent="0.3">
      <c r="A135" s="125" t="s">
        <v>211</v>
      </c>
      <c r="B135" s="125"/>
      <c r="C135" s="23">
        <v>30</v>
      </c>
      <c r="D135" s="22"/>
      <c r="E135" s="22"/>
      <c r="F135" s="23">
        <f t="shared" si="8"/>
        <v>0</v>
      </c>
      <c r="G135" s="32" t="e">
        <f t="shared" si="9"/>
        <v>#DIV/0!</v>
      </c>
    </row>
    <row r="136" spans="1:7" ht="15.6" x14ac:dyDescent="0.3">
      <c r="A136" s="127" t="s">
        <v>212</v>
      </c>
      <c r="B136" s="127"/>
      <c r="C136" s="6" t="s">
        <v>213</v>
      </c>
      <c r="D136" s="22"/>
      <c r="E136" s="22"/>
      <c r="F136" s="22">
        <f t="shared" si="8"/>
        <v>0</v>
      </c>
      <c r="G136" s="33" t="e">
        <f t="shared" si="9"/>
        <v>#DIV/0!</v>
      </c>
    </row>
    <row r="137" spans="1:7" ht="15.6" x14ac:dyDescent="0.3">
      <c r="A137" s="125" t="s">
        <v>214</v>
      </c>
      <c r="B137" s="125"/>
      <c r="C137" s="23">
        <v>31</v>
      </c>
      <c r="D137" s="7"/>
      <c r="E137" s="7"/>
      <c r="F137" s="23">
        <f t="shared" si="8"/>
        <v>0</v>
      </c>
      <c r="G137" s="32" t="e">
        <f t="shared" si="9"/>
        <v>#DIV/0!</v>
      </c>
    </row>
    <row r="138" spans="1:7" ht="15.6" x14ac:dyDescent="0.3">
      <c r="A138" s="125" t="s">
        <v>402</v>
      </c>
      <c r="B138" s="125"/>
      <c r="C138" s="23">
        <v>32</v>
      </c>
      <c r="D138" s="23">
        <f>SUM(D139:D142)</f>
        <v>0</v>
      </c>
      <c r="E138" s="23">
        <f t="shared" ref="E138" si="17">SUM(E139:E142)</f>
        <v>0</v>
      </c>
      <c r="F138" s="23">
        <f t="shared" si="8"/>
        <v>0</v>
      </c>
      <c r="G138" s="32" t="e">
        <f t="shared" si="9"/>
        <v>#DIV/0!</v>
      </c>
    </row>
    <row r="139" spans="1:7" ht="15.6" x14ac:dyDescent="0.3">
      <c r="A139" s="127" t="s">
        <v>216</v>
      </c>
      <c r="B139" s="127"/>
      <c r="C139" s="11" t="s">
        <v>217</v>
      </c>
      <c r="D139" s="22"/>
      <c r="E139" s="22"/>
      <c r="F139" s="22">
        <f t="shared" si="8"/>
        <v>0</v>
      </c>
      <c r="G139" s="33" t="e">
        <f t="shared" si="9"/>
        <v>#DIV/0!</v>
      </c>
    </row>
    <row r="140" spans="1:7" ht="15.6" x14ac:dyDescent="0.3">
      <c r="A140" s="127" t="s">
        <v>218</v>
      </c>
      <c r="B140" s="127"/>
      <c r="C140" s="11" t="s">
        <v>219</v>
      </c>
      <c r="D140" s="22"/>
      <c r="E140" s="22"/>
      <c r="F140" s="22">
        <f t="shared" si="8"/>
        <v>0</v>
      </c>
      <c r="G140" s="33" t="e">
        <f t="shared" si="9"/>
        <v>#DIV/0!</v>
      </c>
    </row>
    <row r="141" spans="1:7" ht="15.6" x14ac:dyDescent="0.3">
      <c r="A141" s="127" t="s">
        <v>220</v>
      </c>
      <c r="B141" s="127"/>
      <c r="C141" s="11" t="s">
        <v>221</v>
      </c>
      <c r="D141" s="22"/>
      <c r="E141" s="22"/>
      <c r="F141" s="22">
        <f t="shared" si="8"/>
        <v>0</v>
      </c>
      <c r="G141" s="33" t="e">
        <f t="shared" si="9"/>
        <v>#DIV/0!</v>
      </c>
    </row>
    <row r="142" spans="1:7" ht="15.6" x14ac:dyDescent="0.3">
      <c r="A142" s="127" t="s">
        <v>403</v>
      </c>
      <c r="B142" s="127"/>
      <c r="C142" s="11" t="s">
        <v>222</v>
      </c>
      <c r="D142" s="22"/>
      <c r="E142" s="22"/>
      <c r="F142" s="22">
        <f t="shared" si="8"/>
        <v>0</v>
      </c>
      <c r="G142" s="33" t="e">
        <f t="shared" si="9"/>
        <v>#DIV/0!</v>
      </c>
    </row>
    <row r="143" spans="1:7" ht="15.6" x14ac:dyDescent="0.3">
      <c r="A143" s="125" t="s">
        <v>223</v>
      </c>
      <c r="B143" s="125"/>
      <c r="C143" s="23">
        <v>33</v>
      </c>
      <c r="D143" s="7">
        <f>D137+D129-D135-D138</f>
        <v>0</v>
      </c>
      <c r="E143" s="7">
        <f>E137+E129-E135-E138</f>
        <v>0</v>
      </c>
      <c r="F143" s="23">
        <f t="shared" si="8"/>
        <v>0</v>
      </c>
      <c r="G143" s="32" t="e">
        <f t="shared" si="9"/>
        <v>#DIV/0!</v>
      </c>
    </row>
    <row r="144" spans="1:7" ht="15.6" x14ac:dyDescent="0.3">
      <c r="A144" s="129" t="s">
        <v>224</v>
      </c>
      <c r="B144" s="130"/>
      <c r="C144" s="130"/>
      <c r="D144" s="130"/>
      <c r="E144" s="130"/>
      <c r="F144" s="130"/>
      <c r="G144" s="131"/>
    </row>
    <row r="145" spans="1:7" ht="15.6" x14ac:dyDescent="0.3">
      <c r="A145" s="125" t="s">
        <v>225</v>
      </c>
      <c r="B145" s="125"/>
      <c r="C145" s="23">
        <v>34</v>
      </c>
      <c r="D145" s="23">
        <f>SUM(D146:D151)</f>
        <v>0</v>
      </c>
      <c r="E145" s="23">
        <f>SUM(E146:E151)</f>
        <v>0</v>
      </c>
      <c r="F145" s="23">
        <f t="shared" si="8"/>
        <v>0</v>
      </c>
      <c r="G145" s="32" t="e">
        <f t="shared" si="9"/>
        <v>#DIV/0!</v>
      </c>
    </row>
    <row r="146" spans="1:7" ht="15.6" x14ac:dyDescent="0.3">
      <c r="A146" s="127" t="s">
        <v>226</v>
      </c>
      <c r="B146" s="127"/>
      <c r="C146" s="11" t="s">
        <v>227</v>
      </c>
      <c r="D146" s="22"/>
      <c r="E146" s="22"/>
      <c r="F146" s="22">
        <f t="shared" si="8"/>
        <v>0</v>
      </c>
      <c r="G146" s="33" t="e">
        <f t="shared" si="9"/>
        <v>#DIV/0!</v>
      </c>
    </row>
    <row r="147" spans="1:7" ht="15.6" x14ac:dyDescent="0.3">
      <c r="A147" s="127" t="s">
        <v>228</v>
      </c>
      <c r="B147" s="127"/>
      <c r="C147" s="11" t="s">
        <v>229</v>
      </c>
      <c r="D147" s="22"/>
      <c r="E147" s="22"/>
      <c r="F147" s="22">
        <f t="shared" si="8"/>
        <v>0</v>
      </c>
      <c r="G147" s="33" t="e">
        <f t="shared" si="9"/>
        <v>#DIV/0!</v>
      </c>
    </row>
    <row r="148" spans="1:7" ht="15.6" x14ac:dyDescent="0.3">
      <c r="A148" s="127" t="s">
        <v>230</v>
      </c>
      <c r="B148" s="127"/>
      <c r="C148" s="11" t="s">
        <v>231</v>
      </c>
      <c r="D148" s="12"/>
      <c r="E148" s="12"/>
      <c r="F148" s="22">
        <f t="shared" si="8"/>
        <v>0</v>
      </c>
      <c r="G148" s="33" t="e">
        <f t="shared" si="9"/>
        <v>#DIV/0!</v>
      </c>
    </row>
    <row r="149" spans="1:7" ht="15.6" x14ac:dyDescent="0.3">
      <c r="A149" s="127" t="s">
        <v>232</v>
      </c>
      <c r="B149" s="127"/>
      <c r="C149" s="11" t="s">
        <v>233</v>
      </c>
      <c r="D149" s="22"/>
      <c r="E149" s="22"/>
      <c r="F149" s="22">
        <f t="shared" si="8"/>
        <v>0</v>
      </c>
      <c r="G149" s="33" t="e">
        <f t="shared" si="9"/>
        <v>#DIV/0!</v>
      </c>
    </row>
    <row r="150" spans="1:7" ht="15.6" x14ac:dyDescent="0.3">
      <c r="A150" s="127" t="s">
        <v>234</v>
      </c>
      <c r="B150" s="127"/>
      <c r="C150" s="11" t="s">
        <v>235</v>
      </c>
      <c r="D150" s="22"/>
      <c r="E150" s="22"/>
      <c r="F150" s="22">
        <f t="shared" si="8"/>
        <v>0</v>
      </c>
      <c r="G150" s="33" t="e">
        <f t="shared" si="9"/>
        <v>#DIV/0!</v>
      </c>
    </row>
    <row r="151" spans="1:7" ht="16.2" x14ac:dyDescent="0.3">
      <c r="A151" s="127" t="s">
        <v>236</v>
      </c>
      <c r="B151" s="127"/>
      <c r="C151" s="11" t="s">
        <v>237</v>
      </c>
      <c r="D151" s="24"/>
      <c r="E151" s="24"/>
      <c r="F151" s="22">
        <f t="shared" si="8"/>
        <v>0</v>
      </c>
      <c r="G151" s="33" t="e">
        <f t="shared" si="9"/>
        <v>#DIV/0!</v>
      </c>
    </row>
    <row r="152" spans="1:7" ht="15.6" x14ac:dyDescent="0.3">
      <c r="A152" s="125" t="s">
        <v>238</v>
      </c>
      <c r="B152" s="125"/>
      <c r="C152" s="23">
        <v>35</v>
      </c>
      <c r="D152" s="23">
        <f>SUM(D153:D155)</f>
        <v>0</v>
      </c>
      <c r="E152" s="23">
        <f>SUM(E153:E155)</f>
        <v>0</v>
      </c>
      <c r="F152" s="23">
        <f t="shared" si="8"/>
        <v>0</v>
      </c>
      <c r="G152" s="32" t="e">
        <f t="shared" si="9"/>
        <v>#DIV/0!</v>
      </c>
    </row>
    <row r="153" spans="1:7" ht="15.6" x14ac:dyDescent="0.3">
      <c r="A153" s="127"/>
      <c r="B153" s="127"/>
      <c r="C153" s="11" t="s">
        <v>239</v>
      </c>
      <c r="D153" s="22"/>
      <c r="E153" s="22"/>
      <c r="F153" s="22">
        <f t="shared" si="8"/>
        <v>0</v>
      </c>
      <c r="G153" s="33" t="e">
        <f t="shared" si="9"/>
        <v>#DIV/0!</v>
      </c>
    </row>
    <row r="154" spans="1:7" ht="15.6" x14ac:dyDescent="0.3">
      <c r="A154" s="127"/>
      <c r="B154" s="127"/>
      <c r="C154" s="11" t="s">
        <v>240</v>
      </c>
      <c r="D154" s="22"/>
      <c r="E154" s="22"/>
      <c r="F154" s="22">
        <f t="shared" si="8"/>
        <v>0</v>
      </c>
      <c r="G154" s="33" t="e">
        <f t="shared" si="9"/>
        <v>#DIV/0!</v>
      </c>
    </row>
    <row r="155" spans="1:7" ht="15.6" x14ac:dyDescent="0.3">
      <c r="A155" s="127"/>
      <c r="B155" s="127"/>
      <c r="C155" s="11" t="s">
        <v>241</v>
      </c>
      <c r="D155" s="22"/>
      <c r="E155" s="22"/>
      <c r="F155" s="22">
        <f t="shared" si="8"/>
        <v>0</v>
      </c>
      <c r="G155" s="33" t="e">
        <f t="shared" si="9"/>
        <v>#DIV/0!</v>
      </c>
    </row>
    <row r="156" spans="1:7" ht="15.6" x14ac:dyDescent="0.3">
      <c r="A156" s="125" t="s">
        <v>242</v>
      </c>
      <c r="B156" s="125"/>
      <c r="C156" s="23">
        <v>36</v>
      </c>
      <c r="D156" s="23">
        <f>SUM(D157:D158)</f>
        <v>0</v>
      </c>
      <c r="E156" s="23">
        <f>SUM(E157:E158)</f>
        <v>0</v>
      </c>
      <c r="F156" s="23">
        <f t="shared" ref="F156:F218" si="18">D156-E156</f>
        <v>0</v>
      </c>
      <c r="G156" s="32" t="e">
        <f t="shared" ref="G156:G218" si="19">D156/E156-1</f>
        <v>#DIV/0!</v>
      </c>
    </row>
    <row r="157" spans="1:7" ht="15.6" x14ac:dyDescent="0.3">
      <c r="A157" s="127" t="s">
        <v>243</v>
      </c>
      <c r="B157" s="127"/>
      <c r="C157" s="11" t="s">
        <v>244</v>
      </c>
      <c r="D157" s="22"/>
      <c r="E157" s="22"/>
      <c r="F157" s="22">
        <f t="shared" si="18"/>
        <v>0</v>
      </c>
      <c r="G157" s="33" t="e">
        <f t="shared" si="19"/>
        <v>#DIV/0!</v>
      </c>
    </row>
    <row r="158" spans="1:7" ht="15.6" x14ac:dyDescent="0.3">
      <c r="A158" s="127" t="s">
        <v>245</v>
      </c>
      <c r="B158" s="127"/>
      <c r="C158" s="11" t="s">
        <v>246</v>
      </c>
      <c r="D158" s="22"/>
      <c r="E158" s="22"/>
      <c r="F158" s="22">
        <f t="shared" si="18"/>
        <v>0</v>
      </c>
      <c r="G158" s="33" t="e">
        <f t="shared" si="19"/>
        <v>#DIV/0!</v>
      </c>
    </row>
    <row r="159" spans="1:7" ht="15.6" x14ac:dyDescent="0.3">
      <c r="A159" s="125" t="s">
        <v>247</v>
      </c>
      <c r="B159" s="125"/>
      <c r="C159" s="23">
        <v>37</v>
      </c>
      <c r="D159" s="23">
        <f>D160+D163</f>
        <v>0</v>
      </c>
      <c r="E159" s="23">
        <f>E160+E163</f>
        <v>0</v>
      </c>
      <c r="F159" s="23">
        <f t="shared" si="18"/>
        <v>0</v>
      </c>
      <c r="G159" s="32" t="e">
        <f t="shared" si="19"/>
        <v>#DIV/0!</v>
      </c>
    </row>
    <row r="160" spans="1:7" ht="16.2" x14ac:dyDescent="0.3">
      <c r="A160" s="132" t="s">
        <v>248</v>
      </c>
      <c r="B160" s="132"/>
      <c r="C160" s="13" t="s">
        <v>249</v>
      </c>
      <c r="D160" s="24">
        <f>SUM(D161:D162)</f>
        <v>0</v>
      </c>
      <c r="E160" s="24">
        <f>SUM(E161:E162)</f>
        <v>0</v>
      </c>
      <c r="F160" s="34">
        <f t="shared" si="18"/>
        <v>0</v>
      </c>
      <c r="G160" s="35" t="e">
        <f t="shared" si="19"/>
        <v>#DIV/0!</v>
      </c>
    </row>
    <row r="161" spans="1:7" ht="15.6" x14ac:dyDescent="0.3">
      <c r="A161" s="127" t="s">
        <v>250</v>
      </c>
      <c r="B161" s="127"/>
      <c r="C161" s="11" t="s">
        <v>251</v>
      </c>
      <c r="D161" s="22"/>
      <c r="E161" s="22"/>
      <c r="F161" s="22">
        <f t="shared" si="18"/>
        <v>0</v>
      </c>
      <c r="G161" s="33" t="e">
        <f t="shared" si="19"/>
        <v>#DIV/0!</v>
      </c>
    </row>
    <row r="162" spans="1:7" ht="15.6" x14ac:dyDescent="0.3">
      <c r="A162" s="127" t="s">
        <v>252</v>
      </c>
      <c r="B162" s="127"/>
      <c r="C162" s="11" t="s">
        <v>253</v>
      </c>
      <c r="D162" s="22"/>
      <c r="E162" s="22"/>
      <c r="F162" s="22">
        <f t="shared" si="18"/>
        <v>0</v>
      </c>
      <c r="G162" s="33" t="e">
        <f t="shared" si="19"/>
        <v>#DIV/0!</v>
      </c>
    </row>
    <row r="163" spans="1:7" ht="16.2" x14ac:dyDescent="0.3">
      <c r="A163" s="132" t="s">
        <v>254</v>
      </c>
      <c r="B163" s="132"/>
      <c r="C163" s="13" t="s">
        <v>255</v>
      </c>
      <c r="D163" s="24">
        <f>SUM(D164:D165)</f>
        <v>0</v>
      </c>
      <c r="E163" s="24">
        <f>SUM(E164:E165)</f>
        <v>0</v>
      </c>
      <c r="F163" s="34">
        <f t="shared" si="18"/>
        <v>0</v>
      </c>
      <c r="G163" s="35" t="e">
        <f t="shared" si="19"/>
        <v>#DIV/0!</v>
      </c>
    </row>
    <row r="164" spans="1:7" ht="15.6" x14ac:dyDescent="0.3">
      <c r="A164" s="127" t="s">
        <v>250</v>
      </c>
      <c r="B164" s="127"/>
      <c r="C164" s="11" t="s">
        <v>256</v>
      </c>
      <c r="D164" s="22"/>
      <c r="E164" s="22"/>
      <c r="F164" s="22">
        <f t="shared" si="18"/>
        <v>0</v>
      </c>
      <c r="G164" s="33" t="e">
        <f t="shared" si="19"/>
        <v>#DIV/0!</v>
      </c>
    </row>
    <row r="165" spans="1:7" ht="15.6" x14ac:dyDescent="0.3">
      <c r="A165" s="127" t="s">
        <v>252</v>
      </c>
      <c r="B165" s="127"/>
      <c r="C165" s="11" t="s">
        <v>257</v>
      </c>
      <c r="D165" s="22"/>
      <c r="E165" s="22"/>
      <c r="F165" s="22">
        <f t="shared" si="18"/>
        <v>0</v>
      </c>
      <c r="G165" s="33" t="e">
        <f t="shared" si="19"/>
        <v>#DIV/0!</v>
      </c>
    </row>
    <row r="166" spans="1:7" ht="15.6" x14ac:dyDescent="0.3">
      <c r="A166" s="125" t="s">
        <v>258</v>
      </c>
      <c r="B166" s="125"/>
      <c r="C166" s="23">
        <v>38</v>
      </c>
      <c r="D166" s="23">
        <f>D159+D156+D152+D145</f>
        <v>0</v>
      </c>
      <c r="E166" s="23">
        <f t="shared" ref="E166" si="20">E159+E156+E152+E145</f>
        <v>0</v>
      </c>
      <c r="F166" s="22">
        <f t="shared" si="18"/>
        <v>0</v>
      </c>
      <c r="G166" s="33" t="e">
        <f t="shared" si="19"/>
        <v>#DIV/0!</v>
      </c>
    </row>
    <row r="167" spans="1:7" ht="15.6" x14ac:dyDescent="0.3">
      <c r="A167" s="129" t="s">
        <v>259</v>
      </c>
      <c r="B167" s="130"/>
      <c r="C167" s="130"/>
      <c r="D167" s="130"/>
      <c r="E167" s="130"/>
      <c r="F167" s="130"/>
      <c r="G167" s="131"/>
    </row>
    <row r="168" spans="1:7" ht="16.2" x14ac:dyDescent="0.3">
      <c r="A168" s="127" t="s">
        <v>260</v>
      </c>
      <c r="B168" s="127"/>
      <c r="C168" s="23">
        <v>39</v>
      </c>
      <c r="D168" s="24"/>
      <c r="E168" s="24"/>
      <c r="F168" s="22">
        <f t="shared" si="18"/>
        <v>0</v>
      </c>
      <c r="G168" s="33" t="e">
        <f t="shared" si="19"/>
        <v>#DIV/0!</v>
      </c>
    </row>
    <row r="169" spans="1:7" ht="15.6" x14ac:dyDescent="0.3">
      <c r="A169" s="127" t="s">
        <v>261</v>
      </c>
      <c r="B169" s="127"/>
      <c r="C169" s="23">
        <v>40</v>
      </c>
      <c r="D169" s="12"/>
      <c r="E169" s="12"/>
      <c r="F169" s="22">
        <f t="shared" si="18"/>
        <v>0</v>
      </c>
      <c r="G169" s="33" t="e">
        <f t="shared" si="19"/>
        <v>#DIV/0!</v>
      </c>
    </row>
    <row r="170" spans="1:7" ht="15.6" x14ac:dyDescent="0.3">
      <c r="A170" s="127" t="s">
        <v>262</v>
      </c>
      <c r="B170" s="127"/>
      <c r="C170" s="11" t="s">
        <v>263</v>
      </c>
      <c r="D170" s="22"/>
      <c r="E170" s="22"/>
      <c r="F170" s="22">
        <f t="shared" si="18"/>
        <v>0</v>
      </c>
      <c r="G170" s="33" t="e">
        <f t="shared" si="19"/>
        <v>#DIV/0!</v>
      </c>
    </row>
    <row r="171" spans="1:7" ht="15.6" x14ac:dyDescent="0.3">
      <c r="A171" s="127" t="s">
        <v>264</v>
      </c>
      <c r="B171" s="127"/>
      <c r="C171" s="23">
        <v>41</v>
      </c>
      <c r="D171" s="12"/>
      <c r="E171" s="12"/>
      <c r="F171" s="22">
        <f t="shared" si="18"/>
        <v>0</v>
      </c>
      <c r="G171" s="33" t="e">
        <f t="shared" si="19"/>
        <v>#DIV/0!</v>
      </c>
    </row>
    <row r="172" spans="1:7" ht="15.6" x14ac:dyDescent="0.3">
      <c r="A172" s="127" t="s">
        <v>265</v>
      </c>
      <c r="B172" s="127"/>
      <c r="C172" s="23">
        <v>42</v>
      </c>
      <c r="D172" s="12"/>
      <c r="E172" s="12"/>
      <c r="F172" s="22">
        <f t="shared" si="18"/>
        <v>0</v>
      </c>
      <c r="G172" s="33" t="e">
        <f t="shared" si="19"/>
        <v>#DIV/0!</v>
      </c>
    </row>
    <row r="173" spans="1:7" ht="15.6" x14ac:dyDescent="0.3">
      <c r="A173" s="127" t="s">
        <v>266</v>
      </c>
      <c r="B173" s="127"/>
      <c r="C173" s="23">
        <v>43</v>
      </c>
      <c r="D173" s="7">
        <f>D169+D171+D172</f>
        <v>0</v>
      </c>
      <c r="E173" s="7">
        <f>E169+E171+E172</f>
        <v>0</v>
      </c>
      <c r="F173" s="22">
        <f t="shared" si="18"/>
        <v>0</v>
      </c>
      <c r="G173" s="33" t="e">
        <f t="shared" si="19"/>
        <v>#DIV/0!</v>
      </c>
    </row>
    <row r="174" spans="1:7" ht="15.6" x14ac:dyDescent="0.3">
      <c r="A174" s="127" t="s">
        <v>267</v>
      </c>
      <c r="B174" s="127"/>
      <c r="C174" s="23">
        <v>44</v>
      </c>
      <c r="D174" s="7">
        <f>D175-D176</f>
        <v>0</v>
      </c>
      <c r="E174" s="7">
        <f t="shared" ref="E174" si="21">E175-E176</f>
        <v>0</v>
      </c>
      <c r="F174" s="22">
        <f t="shared" si="18"/>
        <v>0</v>
      </c>
      <c r="G174" s="33" t="e">
        <f t="shared" si="19"/>
        <v>#DIV/0!</v>
      </c>
    </row>
    <row r="175" spans="1:7" ht="15.6" x14ac:dyDescent="0.3">
      <c r="A175" s="127" t="s">
        <v>268</v>
      </c>
      <c r="B175" s="127"/>
      <c r="C175" s="11" t="s">
        <v>269</v>
      </c>
      <c r="D175" s="22"/>
      <c r="E175" s="22"/>
      <c r="F175" s="22">
        <f t="shared" si="18"/>
        <v>0</v>
      </c>
      <c r="G175" s="33" t="e">
        <f t="shared" si="19"/>
        <v>#DIV/0!</v>
      </c>
    </row>
    <row r="176" spans="1:7" ht="15.6" x14ac:dyDescent="0.3">
      <c r="A176" s="127" t="s">
        <v>270</v>
      </c>
      <c r="B176" s="127"/>
      <c r="C176" s="11" t="s">
        <v>271</v>
      </c>
      <c r="D176" s="12">
        <f>SUM(D177:D178)</f>
        <v>0</v>
      </c>
      <c r="E176" s="12">
        <f t="shared" ref="E176" si="22">SUM(E177:E178)</f>
        <v>0</v>
      </c>
      <c r="F176" s="22">
        <f t="shared" si="18"/>
        <v>0</v>
      </c>
      <c r="G176" s="33" t="e">
        <f t="shared" si="19"/>
        <v>#DIV/0!</v>
      </c>
    </row>
    <row r="177" spans="1:7" ht="15.6" x14ac:dyDescent="0.3">
      <c r="A177" s="127" t="s">
        <v>272</v>
      </c>
      <c r="B177" s="127"/>
      <c r="C177" s="11" t="s">
        <v>273</v>
      </c>
      <c r="D177" s="12"/>
      <c r="E177" s="12"/>
      <c r="F177" s="22">
        <f t="shared" si="18"/>
        <v>0</v>
      </c>
      <c r="G177" s="33" t="e">
        <f t="shared" si="19"/>
        <v>#DIV/0!</v>
      </c>
    </row>
    <row r="178" spans="1:7" ht="15.6" x14ac:dyDescent="0.3">
      <c r="A178" s="127" t="s">
        <v>274</v>
      </c>
      <c r="B178" s="127"/>
      <c r="C178" s="11" t="s">
        <v>275</v>
      </c>
      <c r="D178" s="12"/>
      <c r="E178" s="12"/>
      <c r="F178" s="22">
        <f t="shared" si="18"/>
        <v>0</v>
      </c>
      <c r="G178" s="33" t="e">
        <f t="shared" si="19"/>
        <v>#DIV/0!</v>
      </c>
    </row>
    <row r="179" spans="1:7" ht="15.6" x14ac:dyDescent="0.3">
      <c r="A179" s="127" t="s">
        <v>276</v>
      </c>
      <c r="B179" s="127"/>
      <c r="C179" s="23">
        <v>45</v>
      </c>
      <c r="D179" s="12"/>
      <c r="E179" s="12"/>
      <c r="F179" s="22">
        <f t="shared" si="18"/>
        <v>0</v>
      </c>
      <c r="G179" s="33" t="e">
        <f t="shared" si="19"/>
        <v>#DIV/0!</v>
      </c>
    </row>
    <row r="180" spans="1:7" ht="15.6" x14ac:dyDescent="0.3">
      <c r="A180" s="127" t="s">
        <v>277</v>
      </c>
      <c r="B180" s="127"/>
      <c r="C180" s="23">
        <v>46</v>
      </c>
      <c r="D180" s="7">
        <f>D168+D173+D179</f>
        <v>0</v>
      </c>
      <c r="E180" s="7">
        <f>E168+E173+E179</f>
        <v>0</v>
      </c>
      <c r="F180" s="22">
        <f t="shared" si="18"/>
        <v>0</v>
      </c>
      <c r="G180" s="33" t="e">
        <f t="shared" si="19"/>
        <v>#DIV/0!</v>
      </c>
    </row>
    <row r="181" spans="1:7" ht="15.6" x14ac:dyDescent="0.3">
      <c r="A181" s="129" t="s">
        <v>278</v>
      </c>
      <c r="B181" s="130"/>
      <c r="C181" s="130"/>
      <c r="D181" s="130"/>
      <c r="E181" s="130"/>
      <c r="F181" s="130"/>
      <c r="G181" s="131"/>
    </row>
    <row r="182" spans="1:7" ht="15.6" x14ac:dyDescent="0.3">
      <c r="A182" s="127" t="s">
        <v>279</v>
      </c>
      <c r="B182" s="127"/>
      <c r="C182" s="22">
        <v>47</v>
      </c>
      <c r="D182" s="22"/>
      <c r="E182" s="22"/>
      <c r="F182" s="22">
        <f t="shared" si="18"/>
        <v>0</v>
      </c>
      <c r="G182" s="33" t="e">
        <f t="shared" si="19"/>
        <v>#DIV/0!</v>
      </c>
    </row>
    <row r="183" spans="1:7" ht="15.6" x14ac:dyDescent="0.3">
      <c r="A183" s="133" t="s">
        <v>280</v>
      </c>
      <c r="B183" s="133"/>
      <c r="C183" s="14" t="s">
        <v>281</v>
      </c>
      <c r="D183" s="25"/>
      <c r="E183" s="25"/>
      <c r="F183" s="25">
        <f t="shared" si="18"/>
        <v>0</v>
      </c>
      <c r="G183" s="36" t="e">
        <f t="shared" si="19"/>
        <v>#DIV/0!</v>
      </c>
    </row>
    <row r="184" spans="1:7" ht="15.6" x14ac:dyDescent="0.3">
      <c r="A184" s="133" t="s">
        <v>282</v>
      </c>
      <c r="B184" s="133"/>
      <c r="C184" s="14" t="s">
        <v>283</v>
      </c>
      <c r="D184" s="25"/>
      <c r="E184" s="25"/>
      <c r="F184" s="25">
        <f t="shared" si="18"/>
        <v>0</v>
      </c>
      <c r="G184" s="36" t="e">
        <f t="shared" si="19"/>
        <v>#DIV/0!</v>
      </c>
    </row>
    <row r="185" spans="1:7" ht="15.6" x14ac:dyDescent="0.3">
      <c r="A185" s="127" t="s">
        <v>284</v>
      </c>
      <c r="B185" s="127"/>
      <c r="C185" s="22">
        <v>48</v>
      </c>
      <c r="D185" s="22"/>
      <c r="E185" s="22"/>
      <c r="F185" s="22">
        <f t="shared" si="18"/>
        <v>0</v>
      </c>
      <c r="G185" s="33" t="e">
        <f t="shared" si="19"/>
        <v>#DIV/0!</v>
      </c>
    </row>
    <row r="186" spans="1:7" ht="15.6" x14ac:dyDescent="0.3">
      <c r="A186" s="127" t="s">
        <v>285</v>
      </c>
      <c r="B186" s="127"/>
      <c r="C186" s="22">
        <v>49</v>
      </c>
      <c r="D186" s="22"/>
      <c r="E186" s="22"/>
      <c r="F186" s="22">
        <f t="shared" si="18"/>
        <v>0</v>
      </c>
      <c r="G186" s="33" t="e">
        <f t="shared" si="19"/>
        <v>#DIV/0!</v>
      </c>
    </row>
    <row r="187" spans="1:7" ht="15.6" x14ac:dyDescent="0.3">
      <c r="A187" s="127" t="s">
        <v>286</v>
      </c>
      <c r="B187" s="127"/>
      <c r="C187" s="22">
        <v>50</v>
      </c>
      <c r="D187" s="22"/>
      <c r="E187" s="22"/>
      <c r="F187" s="22">
        <f t="shared" si="18"/>
        <v>0</v>
      </c>
      <c r="G187" s="33" t="e">
        <f t="shared" si="19"/>
        <v>#DIV/0!</v>
      </c>
    </row>
    <row r="188" spans="1:7" ht="15.6" x14ac:dyDescent="0.3">
      <c r="A188" s="127" t="s">
        <v>287</v>
      </c>
      <c r="B188" s="127"/>
      <c r="C188" s="22">
        <v>51</v>
      </c>
      <c r="D188" s="22"/>
      <c r="E188" s="22"/>
      <c r="F188" s="22">
        <f t="shared" si="18"/>
        <v>0</v>
      </c>
      <c r="G188" s="33" t="e">
        <f t="shared" si="19"/>
        <v>#DIV/0!</v>
      </c>
    </row>
    <row r="189" spans="1:7" ht="15.6" x14ac:dyDescent="0.3">
      <c r="A189" s="125" t="s">
        <v>288</v>
      </c>
      <c r="B189" s="125"/>
      <c r="C189" s="23">
        <v>52</v>
      </c>
      <c r="D189" s="23">
        <f>SUM(D185:D188)+D182</f>
        <v>0</v>
      </c>
      <c r="E189" s="23">
        <f>SUM(E185:E188)+E182</f>
        <v>0</v>
      </c>
      <c r="F189" s="22">
        <f t="shared" si="18"/>
        <v>0</v>
      </c>
      <c r="G189" s="33" t="e">
        <f t="shared" si="19"/>
        <v>#DIV/0!</v>
      </c>
    </row>
    <row r="190" spans="1:7" ht="15.6" x14ac:dyDescent="0.3">
      <c r="A190" s="129" t="s">
        <v>289</v>
      </c>
      <c r="B190" s="130"/>
      <c r="C190" s="130"/>
      <c r="D190" s="130"/>
      <c r="E190" s="130"/>
      <c r="F190" s="130"/>
      <c r="G190" s="131"/>
    </row>
    <row r="191" spans="1:7" ht="15.6" x14ac:dyDescent="0.3">
      <c r="A191" s="125" t="s">
        <v>290</v>
      </c>
      <c r="B191" s="125"/>
      <c r="C191" s="23">
        <v>53</v>
      </c>
      <c r="D191" s="23">
        <f>SUM(D192:D198)</f>
        <v>0</v>
      </c>
      <c r="E191" s="23">
        <f>SUM(E192:E198)</f>
        <v>0</v>
      </c>
      <c r="F191" s="22">
        <f t="shared" si="18"/>
        <v>0</v>
      </c>
      <c r="G191" s="33" t="e">
        <f t="shared" si="19"/>
        <v>#DIV/0!</v>
      </c>
    </row>
    <row r="192" spans="1:7" ht="15.6" x14ac:dyDescent="0.3">
      <c r="A192" s="127" t="s">
        <v>291</v>
      </c>
      <c r="B192" s="127"/>
      <c r="C192" s="11" t="s">
        <v>292</v>
      </c>
      <c r="D192" s="22"/>
      <c r="E192" s="22"/>
      <c r="F192" s="22">
        <f t="shared" si="18"/>
        <v>0</v>
      </c>
      <c r="G192" s="33" t="e">
        <f t="shared" si="19"/>
        <v>#DIV/0!</v>
      </c>
    </row>
    <row r="193" spans="1:7" ht="15.6" x14ac:dyDescent="0.3">
      <c r="A193" s="127" t="s">
        <v>293</v>
      </c>
      <c r="B193" s="127"/>
      <c r="C193" s="11" t="s">
        <v>294</v>
      </c>
      <c r="D193" s="22"/>
      <c r="E193" s="22"/>
      <c r="F193" s="22">
        <f t="shared" si="18"/>
        <v>0</v>
      </c>
      <c r="G193" s="33" t="e">
        <f t="shared" si="19"/>
        <v>#DIV/0!</v>
      </c>
    </row>
    <row r="194" spans="1:7" ht="15.6" x14ac:dyDescent="0.3">
      <c r="A194" s="127" t="s">
        <v>295</v>
      </c>
      <c r="B194" s="127"/>
      <c r="C194" s="11" t="s">
        <v>296</v>
      </c>
      <c r="D194" s="22"/>
      <c r="E194" s="22"/>
      <c r="F194" s="22">
        <f t="shared" si="18"/>
        <v>0</v>
      </c>
      <c r="G194" s="33" t="e">
        <f t="shared" si="19"/>
        <v>#DIV/0!</v>
      </c>
    </row>
    <row r="195" spans="1:7" ht="15.6" x14ac:dyDescent="0.3">
      <c r="A195" s="127" t="s">
        <v>297</v>
      </c>
      <c r="B195" s="127"/>
      <c r="C195" s="11" t="s">
        <v>298</v>
      </c>
      <c r="D195" s="22"/>
      <c r="E195" s="22"/>
      <c r="F195" s="22">
        <f t="shared" si="18"/>
        <v>0</v>
      </c>
      <c r="G195" s="33" t="e">
        <f t="shared" si="19"/>
        <v>#DIV/0!</v>
      </c>
    </row>
    <row r="196" spans="1:7" ht="15.6" x14ac:dyDescent="0.3">
      <c r="A196" s="127" t="s">
        <v>299</v>
      </c>
      <c r="B196" s="127"/>
      <c r="C196" s="11" t="s">
        <v>300</v>
      </c>
      <c r="D196" s="22"/>
      <c r="E196" s="22"/>
      <c r="F196" s="22">
        <f t="shared" si="18"/>
        <v>0</v>
      </c>
      <c r="G196" s="33" t="e">
        <f t="shared" si="19"/>
        <v>#DIV/0!</v>
      </c>
    </row>
    <row r="197" spans="1:7" ht="15.6" x14ac:dyDescent="0.3">
      <c r="A197" s="127" t="s">
        <v>301</v>
      </c>
      <c r="B197" s="127"/>
      <c r="C197" s="11" t="s">
        <v>302</v>
      </c>
      <c r="D197" s="22"/>
      <c r="E197" s="22"/>
      <c r="F197" s="22">
        <f t="shared" si="18"/>
        <v>0</v>
      </c>
      <c r="G197" s="33" t="e">
        <f t="shared" si="19"/>
        <v>#DIV/0!</v>
      </c>
    </row>
    <row r="198" spans="1:7" ht="15.6" x14ac:dyDescent="0.3">
      <c r="A198" s="127" t="s">
        <v>303</v>
      </c>
      <c r="B198" s="127"/>
      <c r="C198" s="11" t="s">
        <v>304</v>
      </c>
      <c r="D198" s="22"/>
      <c r="E198" s="22"/>
      <c r="F198" s="22">
        <f t="shared" si="18"/>
        <v>0</v>
      </c>
      <c r="G198" s="33" t="e">
        <f t="shared" si="19"/>
        <v>#DIV/0!</v>
      </c>
    </row>
    <row r="199" spans="1:7" ht="15.6" x14ac:dyDescent="0.3">
      <c r="A199" s="125" t="s">
        <v>305</v>
      </c>
      <c r="B199" s="125"/>
      <c r="C199" s="23">
        <v>54</v>
      </c>
      <c r="D199" s="23">
        <f>SUM(D200:D203)</f>
        <v>0</v>
      </c>
      <c r="E199" s="23">
        <f>SUM(E200:E203)</f>
        <v>0</v>
      </c>
      <c r="F199" s="22">
        <f t="shared" si="18"/>
        <v>0</v>
      </c>
      <c r="G199" s="33" t="e">
        <f t="shared" si="19"/>
        <v>#DIV/0!</v>
      </c>
    </row>
    <row r="200" spans="1:7" ht="15.6" x14ac:dyDescent="0.3">
      <c r="A200" s="127" t="s">
        <v>306</v>
      </c>
      <c r="B200" s="127"/>
      <c r="C200" s="11" t="s">
        <v>307</v>
      </c>
      <c r="D200" s="22"/>
      <c r="E200" s="22"/>
      <c r="F200" s="22">
        <f t="shared" si="18"/>
        <v>0</v>
      </c>
      <c r="G200" s="33" t="e">
        <f t="shared" si="19"/>
        <v>#DIV/0!</v>
      </c>
    </row>
    <row r="201" spans="1:7" ht="15.6" x14ac:dyDescent="0.3">
      <c r="A201" s="127" t="s">
        <v>308</v>
      </c>
      <c r="B201" s="127"/>
      <c r="C201" s="11" t="s">
        <v>309</v>
      </c>
      <c r="D201" s="22"/>
      <c r="E201" s="22"/>
      <c r="F201" s="22">
        <f t="shared" si="18"/>
        <v>0</v>
      </c>
      <c r="G201" s="33" t="e">
        <f t="shared" si="19"/>
        <v>#DIV/0!</v>
      </c>
    </row>
    <row r="202" spans="1:7" ht="15.6" x14ac:dyDescent="0.3">
      <c r="A202" s="127" t="s">
        <v>310</v>
      </c>
      <c r="B202" s="127"/>
      <c r="C202" s="11" t="s">
        <v>311</v>
      </c>
      <c r="D202" s="22"/>
      <c r="E202" s="22"/>
      <c r="F202" s="22">
        <f t="shared" si="18"/>
        <v>0</v>
      </c>
      <c r="G202" s="33" t="e">
        <f t="shared" si="19"/>
        <v>#DIV/0!</v>
      </c>
    </row>
    <row r="203" spans="1:7" ht="15.6" x14ac:dyDescent="0.3">
      <c r="A203" s="127" t="s">
        <v>312</v>
      </c>
      <c r="B203" s="127"/>
      <c r="C203" s="11" t="s">
        <v>313</v>
      </c>
      <c r="D203" s="22"/>
      <c r="E203" s="22"/>
      <c r="F203" s="22">
        <f t="shared" si="18"/>
        <v>0</v>
      </c>
      <c r="G203" s="33" t="e">
        <f t="shared" si="19"/>
        <v>#DIV/0!</v>
      </c>
    </row>
    <row r="204" spans="1:7" ht="15.6" x14ac:dyDescent="0.3">
      <c r="A204" s="129" t="s">
        <v>314</v>
      </c>
      <c r="B204" s="130"/>
      <c r="C204" s="130"/>
      <c r="D204" s="130"/>
      <c r="E204" s="130"/>
      <c r="F204" s="130"/>
      <c r="G204" s="131"/>
    </row>
    <row r="205" spans="1:7" ht="15.6" x14ac:dyDescent="0.3">
      <c r="A205" s="125" t="s">
        <v>315</v>
      </c>
      <c r="B205" s="125"/>
      <c r="C205" s="23">
        <v>55</v>
      </c>
      <c r="D205" s="23"/>
      <c r="E205" s="23"/>
      <c r="F205" s="23">
        <f t="shared" si="18"/>
        <v>0</v>
      </c>
      <c r="G205" s="32" t="e">
        <f t="shared" si="19"/>
        <v>#DIV/0!</v>
      </c>
    </row>
    <row r="206" spans="1:7" ht="15.6" x14ac:dyDescent="0.3">
      <c r="A206" s="125" t="s">
        <v>316</v>
      </c>
      <c r="B206" s="125"/>
      <c r="C206" s="23">
        <v>56</v>
      </c>
      <c r="D206" s="23"/>
      <c r="E206" s="23"/>
      <c r="F206" s="23">
        <f t="shared" si="18"/>
        <v>0</v>
      </c>
      <c r="G206" s="32" t="e">
        <f t="shared" si="19"/>
        <v>#DIV/0!</v>
      </c>
    </row>
    <row r="207" spans="1:7" ht="15.6" x14ac:dyDescent="0.3">
      <c r="A207" s="127" t="s">
        <v>317</v>
      </c>
      <c r="B207" s="127"/>
      <c r="C207" s="11" t="s">
        <v>318</v>
      </c>
      <c r="D207" s="22"/>
      <c r="E207" s="22"/>
      <c r="F207" s="22">
        <f t="shared" si="18"/>
        <v>0</v>
      </c>
      <c r="G207" s="33" t="e">
        <f t="shared" si="19"/>
        <v>#DIV/0!</v>
      </c>
    </row>
    <row r="208" spans="1:7" ht="15.6" x14ac:dyDescent="0.3">
      <c r="A208" s="127" t="s">
        <v>319</v>
      </c>
      <c r="B208" s="127"/>
      <c r="C208" s="11" t="s">
        <v>320</v>
      </c>
      <c r="D208" s="22"/>
      <c r="E208" s="22"/>
      <c r="F208" s="22">
        <f t="shared" si="18"/>
        <v>0</v>
      </c>
      <c r="G208" s="33" t="e">
        <f t="shared" si="19"/>
        <v>#DIV/0!</v>
      </c>
    </row>
    <row r="209" spans="1:7" ht="15.6" x14ac:dyDescent="0.3">
      <c r="A209" s="127" t="s">
        <v>321</v>
      </c>
      <c r="B209" s="127"/>
      <c r="C209" s="11" t="s">
        <v>322</v>
      </c>
      <c r="D209" s="22"/>
      <c r="E209" s="22"/>
      <c r="F209" s="22">
        <f t="shared" si="18"/>
        <v>0</v>
      </c>
      <c r="G209" s="33" t="e">
        <f t="shared" si="19"/>
        <v>#DIV/0!</v>
      </c>
    </row>
    <row r="210" spans="1:7" ht="15.6" x14ac:dyDescent="0.3">
      <c r="A210" s="127" t="s">
        <v>323</v>
      </c>
      <c r="B210" s="127"/>
      <c r="C210" s="11" t="s">
        <v>324</v>
      </c>
      <c r="D210" s="22"/>
      <c r="E210" s="22"/>
      <c r="F210" s="22">
        <f t="shared" si="18"/>
        <v>0</v>
      </c>
      <c r="G210" s="33" t="e">
        <f t="shared" si="19"/>
        <v>#DIV/0!</v>
      </c>
    </row>
    <row r="211" spans="1:7" ht="15.6" x14ac:dyDescent="0.3">
      <c r="A211" s="127" t="s">
        <v>325</v>
      </c>
      <c r="B211" s="127"/>
      <c r="C211" s="11" t="s">
        <v>326</v>
      </c>
      <c r="D211" s="22"/>
      <c r="E211" s="22"/>
      <c r="F211" s="22">
        <f t="shared" si="18"/>
        <v>0</v>
      </c>
      <c r="G211" s="33" t="e">
        <f t="shared" si="19"/>
        <v>#DIV/0!</v>
      </c>
    </row>
    <row r="212" spans="1:7" ht="15.6" x14ac:dyDescent="0.3">
      <c r="A212" s="127" t="s">
        <v>327</v>
      </c>
      <c r="B212" s="127"/>
      <c r="C212" s="11" t="s">
        <v>328</v>
      </c>
      <c r="D212" s="22"/>
      <c r="E212" s="22"/>
      <c r="F212" s="22">
        <f t="shared" si="18"/>
        <v>0</v>
      </c>
      <c r="G212" s="33" t="e">
        <f t="shared" si="19"/>
        <v>#DIV/0!</v>
      </c>
    </row>
    <row r="213" spans="1:7" ht="15.6" x14ac:dyDescent="0.3">
      <c r="A213" s="125" t="s">
        <v>329</v>
      </c>
      <c r="B213" s="125"/>
      <c r="C213" s="11">
        <v>57</v>
      </c>
      <c r="D213" s="23"/>
      <c r="E213" s="23"/>
      <c r="F213" s="23">
        <f t="shared" si="18"/>
        <v>0</v>
      </c>
      <c r="G213" s="32" t="e">
        <f t="shared" si="19"/>
        <v>#DIV/0!</v>
      </c>
    </row>
    <row r="214" spans="1:7" ht="15.6" x14ac:dyDescent="0.3">
      <c r="A214" s="127" t="s">
        <v>330</v>
      </c>
      <c r="B214" s="127"/>
      <c r="C214" s="11" t="s">
        <v>331</v>
      </c>
      <c r="D214" s="22"/>
      <c r="E214" s="22"/>
      <c r="F214" s="22">
        <f t="shared" si="18"/>
        <v>0</v>
      </c>
      <c r="G214" s="33" t="e">
        <f t="shared" si="19"/>
        <v>#DIV/0!</v>
      </c>
    </row>
    <row r="215" spans="1:7" ht="15.6" x14ac:dyDescent="0.3">
      <c r="A215" s="125" t="s">
        <v>332</v>
      </c>
      <c r="B215" s="125"/>
      <c r="C215" s="16">
        <v>58</v>
      </c>
      <c r="D215" s="23"/>
      <c r="E215" s="23"/>
      <c r="F215" s="23">
        <f t="shared" si="18"/>
        <v>0</v>
      </c>
      <c r="G215" s="32" t="e">
        <f t="shared" si="19"/>
        <v>#DIV/0!</v>
      </c>
    </row>
    <row r="216" spans="1:7" ht="15.6" x14ac:dyDescent="0.3">
      <c r="A216" s="125" t="s">
        <v>333</v>
      </c>
      <c r="B216" s="125"/>
      <c r="C216" s="16">
        <v>59</v>
      </c>
      <c r="D216" s="23"/>
      <c r="E216" s="23"/>
      <c r="F216" s="23">
        <f t="shared" si="18"/>
        <v>0</v>
      </c>
      <c r="G216" s="32" t="e">
        <f t="shared" si="19"/>
        <v>#DIV/0!</v>
      </c>
    </row>
    <row r="217" spans="1:7" ht="15.6" x14ac:dyDescent="0.3">
      <c r="A217" s="125" t="s">
        <v>334</v>
      </c>
      <c r="B217" s="125"/>
      <c r="C217" s="16">
        <v>60</v>
      </c>
      <c r="D217" s="23"/>
      <c r="E217" s="23"/>
      <c r="F217" s="23">
        <f t="shared" si="18"/>
        <v>0</v>
      </c>
      <c r="G217" s="32" t="e">
        <f t="shared" si="19"/>
        <v>#DIV/0!</v>
      </c>
    </row>
    <row r="218" spans="1:7" ht="15.6" x14ac:dyDescent="0.3">
      <c r="A218" s="125" t="s">
        <v>335</v>
      </c>
      <c r="B218" s="125"/>
      <c r="C218" s="16">
        <v>61</v>
      </c>
      <c r="D218" s="23"/>
      <c r="E218" s="23"/>
      <c r="F218" s="23">
        <f t="shared" si="18"/>
        <v>0</v>
      </c>
      <c r="G218" s="32" t="e">
        <f t="shared" si="19"/>
        <v>#DIV/0!</v>
      </c>
    </row>
    <row r="219" spans="1:7" ht="15.6" x14ac:dyDescent="0.3">
      <c r="A219" s="129" t="s">
        <v>336</v>
      </c>
      <c r="B219" s="130"/>
      <c r="C219" s="130"/>
      <c r="D219" s="130"/>
      <c r="E219" s="130"/>
      <c r="F219" s="130"/>
      <c r="G219" s="131"/>
    </row>
    <row r="220" spans="1:7" ht="15.6" x14ac:dyDescent="0.3">
      <c r="A220" s="125" t="s">
        <v>337</v>
      </c>
      <c r="B220" s="125"/>
      <c r="C220" s="23">
        <v>62</v>
      </c>
      <c r="D220" s="23">
        <f>SUM(D221:D223)</f>
        <v>0</v>
      </c>
      <c r="E220" s="23">
        <f>SUM(E221:E223)</f>
        <v>0</v>
      </c>
      <c r="F220" s="23">
        <f t="shared" ref="F220:F263" si="23">D220-E220</f>
        <v>0</v>
      </c>
      <c r="G220" s="32" t="e">
        <f t="shared" ref="G220:G263" si="24">D220/E220-1</f>
        <v>#DIV/0!</v>
      </c>
    </row>
    <row r="221" spans="1:7" ht="15.6" x14ac:dyDescent="0.3">
      <c r="A221" s="127" t="s">
        <v>338</v>
      </c>
      <c r="B221" s="127"/>
      <c r="C221" s="11" t="s">
        <v>339</v>
      </c>
      <c r="D221" s="22"/>
      <c r="E221" s="22"/>
      <c r="F221" s="22">
        <f t="shared" si="23"/>
        <v>0</v>
      </c>
      <c r="G221" s="33" t="e">
        <f t="shared" si="24"/>
        <v>#DIV/0!</v>
      </c>
    </row>
    <row r="222" spans="1:7" ht="15.6" x14ac:dyDescent="0.3">
      <c r="A222" s="127" t="s">
        <v>340</v>
      </c>
      <c r="B222" s="127"/>
      <c r="C222" s="11" t="s">
        <v>341</v>
      </c>
      <c r="D222" s="22"/>
      <c r="E222" s="22"/>
      <c r="F222" s="22">
        <f t="shared" si="23"/>
        <v>0</v>
      </c>
      <c r="G222" s="33" t="e">
        <f t="shared" si="24"/>
        <v>#DIV/0!</v>
      </c>
    </row>
    <row r="223" spans="1:7" ht="15.6" x14ac:dyDescent="0.3">
      <c r="A223" s="127" t="s">
        <v>342</v>
      </c>
      <c r="B223" s="127"/>
      <c r="C223" s="11" t="s">
        <v>343</v>
      </c>
      <c r="D223" s="22"/>
      <c r="E223" s="22"/>
      <c r="F223" s="22">
        <f t="shared" si="23"/>
        <v>0</v>
      </c>
      <c r="G223" s="33" t="e">
        <f t="shared" si="24"/>
        <v>#DIV/0!</v>
      </c>
    </row>
    <row r="224" spans="1:7" ht="15.6" x14ac:dyDescent="0.3">
      <c r="A224" s="125" t="s">
        <v>344</v>
      </c>
      <c r="B224" s="125"/>
      <c r="C224" s="23">
        <v>63</v>
      </c>
      <c r="D224" s="23">
        <f>D225+D228+D231</f>
        <v>0</v>
      </c>
      <c r="E224" s="23">
        <f t="shared" ref="E224" si="25">E225+E228+E231</f>
        <v>0</v>
      </c>
      <c r="F224" s="23">
        <f t="shared" si="23"/>
        <v>0</v>
      </c>
      <c r="G224" s="32" t="e">
        <f t="shared" si="24"/>
        <v>#DIV/0!</v>
      </c>
    </row>
    <row r="225" spans="1:7" ht="16.2" x14ac:dyDescent="0.3">
      <c r="A225" s="132" t="s">
        <v>345</v>
      </c>
      <c r="B225" s="132"/>
      <c r="C225" s="13" t="s">
        <v>346</v>
      </c>
      <c r="D225" s="24">
        <f>SUM(D226:D227)</f>
        <v>0</v>
      </c>
      <c r="E225" s="24">
        <f t="shared" ref="E225" si="26">SUM(E226:E227)</f>
        <v>0</v>
      </c>
      <c r="F225" s="24">
        <f t="shared" si="23"/>
        <v>0</v>
      </c>
      <c r="G225" s="35" t="e">
        <f t="shared" si="24"/>
        <v>#DIV/0!</v>
      </c>
    </row>
    <row r="226" spans="1:7" ht="15.6" x14ac:dyDescent="0.3">
      <c r="A226" s="127" t="s">
        <v>272</v>
      </c>
      <c r="B226" s="127"/>
      <c r="C226" s="11" t="s">
        <v>347</v>
      </c>
      <c r="D226" s="22"/>
      <c r="E226" s="22"/>
      <c r="F226" s="22">
        <f t="shared" si="23"/>
        <v>0</v>
      </c>
      <c r="G226" s="33" t="e">
        <f t="shared" si="24"/>
        <v>#DIV/0!</v>
      </c>
    </row>
    <row r="227" spans="1:7" ht="15.6" x14ac:dyDescent="0.3">
      <c r="A227" s="127" t="s">
        <v>274</v>
      </c>
      <c r="B227" s="127"/>
      <c r="C227" s="11" t="s">
        <v>348</v>
      </c>
      <c r="D227" s="22"/>
      <c r="E227" s="22"/>
      <c r="F227" s="22">
        <f t="shared" si="23"/>
        <v>0</v>
      </c>
      <c r="G227" s="33" t="e">
        <f t="shared" si="24"/>
        <v>#DIV/0!</v>
      </c>
    </row>
    <row r="228" spans="1:7" ht="16.2" x14ac:dyDescent="0.3">
      <c r="A228" s="132" t="s">
        <v>349</v>
      </c>
      <c r="B228" s="132"/>
      <c r="C228" s="13" t="s">
        <v>350</v>
      </c>
      <c r="D228" s="24">
        <f>SUM(D229:D230)</f>
        <v>0</v>
      </c>
      <c r="E228" s="24">
        <f>SUM(E229:E230)</f>
        <v>0</v>
      </c>
      <c r="F228" s="24">
        <f t="shared" si="23"/>
        <v>0</v>
      </c>
      <c r="G228" s="35" t="e">
        <f t="shared" si="24"/>
        <v>#DIV/0!</v>
      </c>
    </row>
    <row r="229" spans="1:7" ht="15.6" x14ac:dyDescent="0.3">
      <c r="A229" s="127" t="s">
        <v>272</v>
      </c>
      <c r="B229" s="127"/>
      <c r="C229" s="11" t="s">
        <v>351</v>
      </c>
      <c r="D229" s="22"/>
      <c r="E229" s="22"/>
      <c r="F229" s="22">
        <f t="shared" si="23"/>
        <v>0</v>
      </c>
      <c r="G229" s="33" t="e">
        <f t="shared" si="24"/>
        <v>#DIV/0!</v>
      </c>
    </row>
    <row r="230" spans="1:7" ht="15.6" x14ac:dyDescent="0.3">
      <c r="A230" s="127" t="s">
        <v>274</v>
      </c>
      <c r="B230" s="127"/>
      <c r="C230" s="11" t="s">
        <v>352</v>
      </c>
      <c r="D230" s="22"/>
      <c r="E230" s="22"/>
      <c r="F230" s="22">
        <f t="shared" si="23"/>
        <v>0</v>
      </c>
      <c r="G230" s="33" t="e">
        <f t="shared" si="24"/>
        <v>#DIV/0!</v>
      </c>
    </row>
    <row r="231" spans="1:7" ht="16.2" x14ac:dyDescent="0.3">
      <c r="A231" s="132" t="s">
        <v>353</v>
      </c>
      <c r="B231" s="132"/>
      <c r="C231" s="13" t="s">
        <v>354</v>
      </c>
      <c r="D231" s="24">
        <f>SUM(D232:D233)</f>
        <v>0</v>
      </c>
      <c r="E231" s="24">
        <f t="shared" ref="E231" si="27">SUM(E232:E233)</f>
        <v>0</v>
      </c>
      <c r="F231" s="24">
        <f t="shared" si="23"/>
        <v>0</v>
      </c>
      <c r="G231" s="35" t="e">
        <f t="shared" si="24"/>
        <v>#DIV/0!</v>
      </c>
    </row>
    <row r="232" spans="1:7" ht="15.6" x14ac:dyDescent="0.3">
      <c r="A232" s="127" t="s">
        <v>272</v>
      </c>
      <c r="B232" s="127"/>
      <c r="C232" s="11" t="s">
        <v>355</v>
      </c>
      <c r="D232" s="5"/>
      <c r="E232" s="5"/>
      <c r="F232" s="22">
        <f t="shared" si="23"/>
        <v>0</v>
      </c>
      <c r="G232" s="33" t="e">
        <f t="shared" si="24"/>
        <v>#DIV/0!</v>
      </c>
    </row>
    <row r="233" spans="1:7" ht="15.6" x14ac:dyDescent="0.3">
      <c r="A233" s="127" t="s">
        <v>274</v>
      </c>
      <c r="B233" s="127"/>
      <c r="C233" s="11" t="s">
        <v>356</v>
      </c>
      <c r="D233" s="5"/>
      <c r="E233" s="5"/>
      <c r="F233" s="22">
        <f t="shared" si="23"/>
        <v>0</v>
      </c>
      <c r="G233" s="33" t="e">
        <f t="shared" si="24"/>
        <v>#DIV/0!</v>
      </c>
    </row>
    <row r="234" spans="1:7" ht="15.6" x14ac:dyDescent="0.3">
      <c r="A234" s="125" t="s">
        <v>357</v>
      </c>
      <c r="B234" s="125"/>
      <c r="C234" s="23">
        <v>64</v>
      </c>
      <c r="D234" s="15">
        <f>SUM(D235:D237)</f>
        <v>0</v>
      </c>
      <c r="E234" s="15">
        <f t="shared" ref="E234" si="28">SUM(E235:E237)</f>
        <v>0</v>
      </c>
      <c r="F234" s="23">
        <f t="shared" si="23"/>
        <v>0</v>
      </c>
      <c r="G234" s="32" t="e">
        <f t="shared" si="24"/>
        <v>#DIV/0!</v>
      </c>
    </row>
    <row r="235" spans="1:7" ht="15.6" x14ac:dyDescent="0.3">
      <c r="A235" s="127" t="s">
        <v>338</v>
      </c>
      <c r="B235" s="127"/>
      <c r="C235" s="11" t="s">
        <v>358</v>
      </c>
      <c r="D235" s="5"/>
      <c r="E235" s="5"/>
      <c r="F235" s="22">
        <f t="shared" si="23"/>
        <v>0</v>
      </c>
      <c r="G235" s="33" t="e">
        <f t="shared" si="24"/>
        <v>#DIV/0!</v>
      </c>
    </row>
    <row r="236" spans="1:7" ht="15.6" x14ac:dyDescent="0.3">
      <c r="A236" s="127" t="s">
        <v>340</v>
      </c>
      <c r="B236" s="127"/>
      <c r="C236" s="11" t="s">
        <v>359</v>
      </c>
      <c r="D236" s="5"/>
      <c r="E236" s="5"/>
      <c r="F236" s="22">
        <f t="shared" si="23"/>
        <v>0</v>
      </c>
      <c r="G236" s="33" t="e">
        <f t="shared" si="24"/>
        <v>#DIV/0!</v>
      </c>
    </row>
    <row r="237" spans="1:7" ht="15.6" x14ac:dyDescent="0.3">
      <c r="A237" s="127" t="s">
        <v>342</v>
      </c>
      <c r="B237" s="127"/>
      <c r="C237" s="11" t="s">
        <v>360</v>
      </c>
      <c r="D237" s="5"/>
      <c r="E237" s="5"/>
      <c r="F237" s="22">
        <f t="shared" si="23"/>
        <v>0</v>
      </c>
      <c r="G237" s="33" t="e">
        <f t="shared" si="24"/>
        <v>#DIV/0!</v>
      </c>
    </row>
    <row r="238" spans="1:7" ht="15.6" x14ac:dyDescent="0.3">
      <c r="A238" s="129" t="s">
        <v>361</v>
      </c>
      <c r="B238" s="130"/>
      <c r="C238" s="130"/>
      <c r="D238" s="130"/>
      <c r="E238" s="130"/>
      <c r="F238" s="130"/>
      <c r="G238" s="131"/>
    </row>
    <row r="239" spans="1:7" ht="15.6" x14ac:dyDescent="0.3">
      <c r="A239" s="125" t="s">
        <v>362</v>
      </c>
      <c r="B239" s="125"/>
      <c r="C239" s="23">
        <v>65</v>
      </c>
      <c r="D239" s="15"/>
      <c r="E239" s="15"/>
      <c r="F239" s="23">
        <f t="shared" si="23"/>
        <v>0</v>
      </c>
      <c r="G239" s="32" t="e">
        <f t="shared" si="24"/>
        <v>#DIV/0!</v>
      </c>
    </row>
    <row r="240" spans="1:7" ht="15.6" x14ac:dyDescent="0.3">
      <c r="A240" s="125" t="s">
        <v>363</v>
      </c>
      <c r="B240" s="125"/>
      <c r="C240" s="23">
        <v>66</v>
      </c>
      <c r="D240" s="15"/>
      <c r="E240" s="15"/>
      <c r="F240" s="23">
        <f t="shared" si="23"/>
        <v>0</v>
      </c>
      <c r="G240" s="32" t="e">
        <f t="shared" si="24"/>
        <v>#DIV/0!</v>
      </c>
    </row>
    <row r="241" spans="1:7" ht="15.6" x14ac:dyDescent="0.3">
      <c r="A241" s="125" t="s">
        <v>364</v>
      </c>
      <c r="B241" s="125"/>
      <c r="C241" s="23">
        <v>67</v>
      </c>
      <c r="D241" s="15"/>
      <c r="E241" s="15"/>
      <c r="F241" s="23">
        <f t="shared" si="23"/>
        <v>0</v>
      </c>
      <c r="G241" s="32" t="e">
        <f t="shared" si="24"/>
        <v>#DIV/0!</v>
      </c>
    </row>
    <row r="242" spans="1:7" ht="15.6" x14ac:dyDescent="0.3">
      <c r="A242" s="125" t="s">
        <v>365</v>
      </c>
      <c r="B242" s="125"/>
      <c r="C242" s="23">
        <v>68</v>
      </c>
      <c r="D242" s="15"/>
      <c r="E242" s="15"/>
      <c r="F242" s="23">
        <f t="shared" si="23"/>
        <v>0</v>
      </c>
      <c r="G242" s="32" t="e">
        <f t="shared" si="24"/>
        <v>#DIV/0!</v>
      </c>
    </row>
    <row r="243" spans="1:7" ht="15.6" x14ac:dyDescent="0.3">
      <c r="A243" s="129" t="s">
        <v>366</v>
      </c>
      <c r="B243" s="130"/>
      <c r="C243" s="130"/>
      <c r="D243" s="130"/>
      <c r="E243" s="130"/>
      <c r="F243" s="130"/>
      <c r="G243" s="131"/>
    </row>
    <row r="244" spans="1:7" ht="15.6" x14ac:dyDescent="0.3">
      <c r="A244" s="127" t="s">
        <v>367</v>
      </c>
      <c r="B244" s="128"/>
      <c r="C244" s="15">
        <v>69</v>
      </c>
      <c r="D244" s="15">
        <f>SUM(D245:D247)</f>
        <v>0</v>
      </c>
      <c r="E244" s="15">
        <f>SUM(E245:E247)</f>
        <v>0</v>
      </c>
      <c r="F244" s="23">
        <f t="shared" si="23"/>
        <v>0</v>
      </c>
      <c r="G244" s="32" t="e">
        <f t="shared" si="24"/>
        <v>#DIV/0!</v>
      </c>
    </row>
    <row r="245" spans="1:7" ht="15.6" x14ac:dyDescent="0.3">
      <c r="A245" s="127" t="s">
        <v>368</v>
      </c>
      <c r="B245" s="128"/>
      <c r="C245" s="17" t="s">
        <v>369</v>
      </c>
      <c r="D245" s="5"/>
      <c r="E245" s="5"/>
      <c r="F245" s="22">
        <f t="shared" si="23"/>
        <v>0</v>
      </c>
      <c r="G245" s="33" t="e">
        <f t="shared" si="24"/>
        <v>#DIV/0!</v>
      </c>
    </row>
    <row r="246" spans="1:7" ht="15.6" x14ac:dyDescent="0.3">
      <c r="A246" s="127" t="s">
        <v>370</v>
      </c>
      <c r="B246" s="128"/>
      <c r="C246" s="17" t="s">
        <v>371</v>
      </c>
      <c r="D246" s="5"/>
      <c r="E246" s="5"/>
      <c r="F246" s="22">
        <f t="shared" si="23"/>
        <v>0</v>
      </c>
      <c r="G246" s="33" t="e">
        <f t="shared" si="24"/>
        <v>#DIV/0!</v>
      </c>
    </row>
    <row r="247" spans="1:7" ht="15.6" x14ac:dyDescent="0.3">
      <c r="A247" s="127" t="s">
        <v>372</v>
      </c>
      <c r="B247" s="128"/>
      <c r="C247" s="17" t="s">
        <v>373</v>
      </c>
      <c r="D247" s="5"/>
      <c r="E247" s="5"/>
      <c r="F247" s="22">
        <f t="shared" si="23"/>
        <v>0</v>
      </c>
      <c r="G247" s="33" t="e">
        <f t="shared" si="24"/>
        <v>#DIV/0!</v>
      </c>
    </row>
    <row r="248" spans="1:7" ht="15.6" x14ac:dyDescent="0.3">
      <c r="A248" s="125" t="s">
        <v>374</v>
      </c>
      <c r="B248" s="125"/>
      <c r="C248" s="15">
        <v>70</v>
      </c>
      <c r="D248" s="15">
        <f>SUM(D249:D251)</f>
        <v>0</v>
      </c>
      <c r="E248" s="15">
        <f>SUM(E249:E251)</f>
        <v>0</v>
      </c>
      <c r="F248" s="23">
        <f t="shared" si="23"/>
        <v>0</v>
      </c>
      <c r="G248" s="32" t="e">
        <f t="shared" si="24"/>
        <v>#DIV/0!</v>
      </c>
    </row>
    <row r="249" spans="1:7" ht="15.6" x14ac:dyDescent="0.3">
      <c r="A249" s="127" t="s">
        <v>368</v>
      </c>
      <c r="B249" s="128"/>
      <c r="C249" s="17" t="s">
        <v>375</v>
      </c>
      <c r="D249" s="5"/>
      <c r="E249" s="5"/>
      <c r="F249" s="22">
        <f t="shared" si="23"/>
        <v>0</v>
      </c>
      <c r="G249" s="33" t="e">
        <f t="shared" si="24"/>
        <v>#DIV/0!</v>
      </c>
    </row>
    <row r="250" spans="1:7" ht="15.6" x14ac:dyDescent="0.3">
      <c r="A250" s="127" t="s">
        <v>370</v>
      </c>
      <c r="B250" s="128"/>
      <c r="C250" s="17" t="s">
        <v>376</v>
      </c>
      <c r="D250" s="5"/>
      <c r="E250" s="5"/>
      <c r="F250" s="22">
        <f t="shared" si="23"/>
        <v>0</v>
      </c>
      <c r="G250" s="33" t="e">
        <f t="shared" si="24"/>
        <v>#DIV/0!</v>
      </c>
    </row>
    <row r="251" spans="1:7" ht="15.6" x14ac:dyDescent="0.3">
      <c r="A251" s="127" t="s">
        <v>372</v>
      </c>
      <c r="B251" s="128"/>
      <c r="C251" s="17" t="s">
        <v>377</v>
      </c>
      <c r="D251" s="5"/>
      <c r="E251" s="5"/>
      <c r="F251" s="22">
        <f t="shared" si="23"/>
        <v>0</v>
      </c>
      <c r="G251" s="33" t="e">
        <f t="shared" si="24"/>
        <v>#DIV/0!</v>
      </c>
    </row>
    <row r="252" spans="1:7" ht="15.6" x14ac:dyDescent="0.3">
      <c r="A252" s="125" t="s">
        <v>378</v>
      </c>
      <c r="B252" s="125"/>
      <c r="C252" s="15">
        <v>71</v>
      </c>
      <c r="D252" s="15">
        <f t="shared" ref="D252:E252" si="29">SUM(D253:D255)</f>
        <v>0</v>
      </c>
      <c r="E252" s="15">
        <f t="shared" si="29"/>
        <v>0</v>
      </c>
      <c r="F252" s="23">
        <f t="shared" si="23"/>
        <v>0</v>
      </c>
      <c r="G252" s="32" t="e">
        <f t="shared" si="24"/>
        <v>#DIV/0!</v>
      </c>
    </row>
    <row r="253" spans="1:7" ht="15.6" x14ac:dyDescent="0.3">
      <c r="A253" s="127" t="s">
        <v>368</v>
      </c>
      <c r="B253" s="128"/>
      <c r="C253" s="17" t="s">
        <v>379</v>
      </c>
      <c r="D253" s="5"/>
      <c r="E253" s="5"/>
      <c r="F253" s="22">
        <f t="shared" si="23"/>
        <v>0</v>
      </c>
      <c r="G253" s="33" t="e">
        <f t="shared" si="24"/>
        <v>#DIV/0!</v>
      </c>
    </row>
    <row r="254" spans="1:7" ht="15.6" x14ac:dyDescent="0.3">
      <c r="A254" s="127" t="s">
        <v>370</v>
      </c>
      <c r="B254" s="128"/>
      <c r="C254" s="17" t="s">
        <v>380</v>
      </c>
      <c r="D254" s="5"/>
      <c r="E254" s="5"/>
      <c r="F254" s="22">
        <f t="shared" si="23"/>
        <v>0</v>
      </c>
      <c r="G254" s="33" t="e">
        <f t="shared" si="24"/>
        <v>#DIV/0!</v>
      </c>
    </row>
    <row r="255" spans="1:7" ht="15.6" x14ac:dyDescent="0.3">
      <c r="A255" s="127" t="s">
        <v>372</v>
      </c>
      <c r="B255" s="128"/>
      <c r="C255" s="17" t="s">
        <v>381</v>
      </c>
      <c r="D255" s="5"/>
      <c r="E255" s="5"/>
      <c r="F255" s="22">
        <f t="shared" si="23"/>
        <v>0</v>
      </c>
      <c r="G255" s="33" t="e">
        <f t="shared" si="24"/>
        <v>#DIV/0!</v>
      </c>
    </row>
    <row r="256" spans="1:7" ht="15.6" x14ac:dyDescent="0.3">
      <c r="A256" s="125" t="s">
        <v>382</v>
      </c>
      <c r="B256" s="126"/>
      <c r="C256" s="15">
        <v>72</v>
      </c>
      <c r="D256" s="15">
        <f t="shared" ref="D256:E256" si="30">SUM(D257:D259)</f>
        <v>0</v>
      </c>
      <c r="E256" s="15">
        <f t="shared" si="30"/>
        <v>0</v>
      </c>
      <c r="F256" s="23">
        <f t="shared" si="23"/>
        <v>0</v>
      </c>
      <c r="G256" s="32" t="e">
        <f t="shared" si="24"/>
        <v>#DIV/0!</v>
      </c>
    </row>
    <row r="257" spans="1:7" ht="15.6" x14ac:dyDescent="0.3">
      <c r="A257" s="127" t="s">
        <v>368</v>
      </c>
      <c r="B257" s="128"/>
      <c r="C257" s="17" t="s">
        <v>383</v>
      </c>
      <c r="D257" s="5"/>
      <c r="E257" s="5"/>
      <c r="F257" s="22">
        <f t="shared" si="23"/>
        <v>0</v>
      </c>
      <c r="G257" s="33" t="e">
        <f t="shared" si="24"/>
        <v>#DIV/0!</v>
      </c>
    </row>
    <row r="258" spans="1:7" ht="15.6" x14ac:dyDescent="0.3">
      <c r="A258" s="127" t="s">
        <v>370</v>
      </c>
      <c r="B258" s="128"/>
      <c r="C258" s="17" t="s">
        <v>384</v>
      </c>
      <c r="D258" s="5"/>
      <c r="E258" s="5"/>
      <c r="F258" s="22">
        <f t="shared" si="23"/>
        <v>0</v>
      </c>
      <c r="G258" s="33" t="e">
        <f t="shared" si="24"/>
        <v>#DIV/0!</v>
      </c>
    </row>
    <row r="259" spans="1:7" ht="15.6" x14ac:dyDescent="0.3">
      <c r="A259" s="127" t="s">
        <v>372</v>
      </c>
      <c r="B259" s="128"/>
      <c r="C259" s="17" t="s">
        <v>385</v>
      </c>
      <c r="D259" s="5"/>
      <c r="E259" s="5"/>
      <c r="F259" s="22">
        <f t="shared" si="23"/>
        <v>0</v>
      </c>
      <c r="G259" s="33" t="e">
        <f t="shared" si="24"/>
        <v>#DIV/0!</v>
      </c>
    </row>
    <row r="260" spans="1:7" ht="15.6" x14ac:dyDescent="0.3">
      <c r="A260" s="125" t="s">
        <v>386</v>
      </c>
      <c r="B260" s="126"/>
      <c r="C260" s="15">
        <v>73</v>
      </c>
      <c r="D260" s="15">
        <f>SUM(D261:D263)</f>
        <v>0</v>
      </c>
      <c r="E260" s="15">
        <f t="shared" ref="E260" si="31">SUM(E261:E263)</f>
        <v>0</v>
      </c>
      <c r="F260" s="23">
        <f t="shared" si="23"/>
        <v>0</v>
      </c>
      <c r="G260" s="32" t="e">
        <f t="shared" si="24"/>
        <v>#DIV/0!</v>
      </c>
    </row>
    <row r="261" spans="1:7" ht="15.6" x14ac:dyDescent="0.3">
      <c r="A261" s="127" t="s">
        <v>368</v>
      </c>
      <c r="B261" s="128"/>
      <c r="C261" s="17" t="s">
        <v>387</v>
      </c>
      <c r="D261" s="5"/>
      <c r="E261" s="5"/>
      <c r="F261" s="22">
        <f t="shared" si="23"/>
        <v>0</v>
      </c>
      <c r="G261" s="33" t="e">
        <f t="shared" si="24"/>
        <v>#DIV/0!</v>
      </c>
    </row>
    <row r="262" spans="1:7" ht="15.6" x14ac:dyDescent="0.3">
      <c r="A262" s="127" t="s">
        <v>370</v>
      </c>
      <c r="B262" s="128"/>
      <c r="C262" s="17" t="s">
        <v>388</v>
      </c>
      <c r="D262" s="5"/>
      <c r="E262" s="5"/>
      <c r="F262" s="22">
        <f t="shared" si="23"/>
        <v>0</v>
      </c>
      <c r="G262" s="33" t="e">
        <f t="shared" si="24"/>
        <v>#DIV/0!</v>
      </c>
    </row>
    <row r="263" spans="1:7" ht="15.6" x14ac:dyDescent="0.3">
      <c r="A263" s="127" t="s">
        <v>372</v>
      </c>
      <c r="B263" s="128"/>
      <c r="C263" s="17" t="s">
        <v>389</v>
      </c>
      <c r="D263" s="5"/>
      <c r="E263" s="5"/>
      <c r="F263" s="22">
        <f t="shared" si="23"/>
        <v>0</v>
      </c>
      <c r="G263" s="33" t="e">
        <f t="shared" si="24"/>
        <v>#DIV/0!</v>
      </c>
    </row>
    <row r="264" spans="1:7" ht="15.6" x14ac:dyDescent="0.3">
      <c r="A264" s="18"/>
      <c r="B264" s="18"/>
      <c r="C264" s="19"/>
      <c r="D264" s="20"/>
      <c r="E264" s="20"/>
      <c r="F264" s="18"/>
      <c r="G264" s="37"/>
    </row>
    <row r="266" spans="1:7" x14ac:dyDescent="0.3">
      <c r="A266" t="s">
        <v>390</v>
      </c>
      <c r="C266" s="21" t="s">
        <v>391</v>
      </c>
      <c r="F266" s="21" t="s">
        <v>391</v>
      </c>
    </row>
    <row r="267" spans="1:7" x14ac:dyDescent="0.3">
      <c r="A267" s="21" t="s">
        <v>392</v>
      </c>
      <c r="C267" s="21" t="s">
        <v>393</v>
      </c>
      <c r="F267" s="21" t="s">
        <v>394</v>
      </c>
    </row>
    <row r="268" spans="1:7" x14ac:dyDescent="0.3">
      <c r="A268" s="21"/>
      <c r="C268" s="21"/>
      <c r="F268" s="21"/>
    </row>
    <row r="270" spans="1:7" s="40" customFormat="1" ht="16.8" x14ac:dyDescent="0.3">
      <c r="A270" s="40" t="s">
        <v>404</v>
      </c>
      <c r="G270" s="40" t="s">
        <v>405</v>
      </c>
    </row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фінансовий план 2022 рік</vt:lpstr>
      <vt:lpstr>Додаток 1</vt:lpstr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2021-12-13T12:34:31Z</cp:lastPrinted>
  <dcterms:created xsi:type="dcterms:W3CDTF">2020-07-31T08:08:06Z</dcterms:created>
  <dcterms:modified xsi:type="dcterms:W3CDTF">2022-01-04T13:35:05Z</dcterms:modified>
</cp:coreProperties>
</file>